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ngenharia\Desktop\ARQUIVOS\Larry\Licitação\ETAPA 3 - Saldo\"/>
    </mc:Choice>
  </mc:AlternateContent>
  <bookViews>
    <workbookView xWindow="0" yWindow="0" windowWidth="28800" windowHeight="12435"/>
  </bookViews>
  <sheets>
    <sheet name="SERVIÇOS" sheetId="1" r:id="rId1"/>
    <sheet name="CRONOGRAMA" sheetId="8" r:id="rId2"/>
    <sheet name="COMPOSIÇÕES" sheetId="3" r:id="rId3"/>
    <sheet name="COMP. GRANIT." sheetId="4" r:id="rId4"/>
    <sheet name="COMP. ELEV." sheetId="5" r:id="rId5"/>
    <sheet name="COMP. SG." sheetId="6" r:id="rId6"/>
    <sheet name="QUANTITATIVOS" sheetId="2" r:id="rId7"/>
    <sheet name="BDI" sheetId="7" r:id="rId8"/>
  </sheets>
  <externalReferences>
    <externalReference r:id="rId9"/>
    <externalReference r:id="rId10"/>
  </externalReferences>
  <definedNames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0" hidden="1">SERVIÇOS!$C$11:$J$303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SERVIÇOS!$C$1:$J$316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0">SERVIÇOS!$7:$9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8" l="1"/>
  <c r="H17" i="8"/>
  <c r="G17" i="8"/>
  <c r="F17" i="8"/>
  <c r="I15" i="8"/>
  <c r="H15" i="8"/>
  <c r="G15" i="8"/>
  <c r="F15" i="8"/>
  <c r="J12" i="8"/>
  <c r="J13" i="8"/>
  <c r="C13" i="8"/>
  <c r="E13" i="8"/>
  <c r="D13" i="8"/>
  <c r="D11" i="8"/>
  <c r="C11" i="8"/>
  <c r="D29" i="8"/>
  <c r="C29" i="8"/>
  <c r="J29" i="8" s="1"/>
  <c r="J24" i="8"/>
  <c r="F25" i="8"/>
  <c r="J25" i="8" s="1"/>
  <c r="H25" i="8"/>
  <c r="G25" i="8"/>
  <c r="D37" i="8"/>
  <c r="C37" i="8"/>
  <c r="J37" i="8" s="1"/>
  <c r="J34" i="8"/>
  <c r="H35" i="8"/>
  <c r="G35" i="8"/>
  <c r="F35" i="8"/>
  <c r="E35" i="8"/>
  <c r="J35" i="8" s="1"/>
  <c r="J30" i="8"/>
  <c r="H31" i="8"/>
  <c r="J31" i="8" s="1"/>
  <c r="G31" i="8"/>
  <c r="J28" i="8"/>
  <c r="F27" i="8"/>
  <c r="E27" i="8"/>
  <c r="D27" i="8"/>
  <c r="J26" i="8"/>
  <c r="C27" i="8"/>
  <c r="E23" i="8"/>
  <c r="D23" i="8"/>
  <c r="J23" i="8" s="1"/>
  <c r="H21" i="8"/>
  <c r="G21" i="8"/>
  <c r="F21" i="8"/>
  <c r="E21" i="8"/>
  <c r="J21" i="8" s="1"/>
  <c r="J18" i="8"/>
  <c r="I19" i="8"/>
  <c r="I38" i="8" s="1"/>
  <c r="H19" i="8"/>
  <c r="H38" i="8" s="1"/>
  <c r="G19" i="8"/>
  <c r="F19" i="8"/>
  <c r="E19" i="8"/>
  <c r="J19" i="8" s="1"/>
  <c r="J16" i="8"/>
  <c r="J6" i="8"/>
  <c r="J8" i="8"/>
  <c r="J10" i="8"/>
  <c r="J14" i="8"/>
  <c r="C9" i="8"/>
  <c r="C7" i="8"/>
  <c r="C38" i="8" s="1"/>
  <c r="J17" i="8" l="1"/>
  <c r="J15" i="8"/>
  <c r="J27" i="8"/>
  <c r="J294" i="1"/>
  <c r="J282" i="1"/>
  <c r="J223" i="1"/>
  <c r="J172" i="1"/>
  <c r="J157" i="1"/>
  <c r="J149" i="1"/>
  <c r="J135" i="1"/>
  <c r="J69" i="1"/>
  <c r="J67" i="1"/>
  <c r="J64" i="1"/>
  <c r="J38" i="1"/>
  <c r="J30" i="1"/>
  <c r="J21" i="1"/>
  <c r="J14" i="1"/>
  <c r="J11" i="1"/>
  <c r="J7" i="8"/>
  <c r="J9" i="8"/>
  <c r="J11" i="8"/>
  <c r="B36" i="8" l="1"/>
  <c r="B34" i="8"/>
  <c r="B32" i="8"/>
  <c r="B30" i="8"/>
  <c r="B28" i="8"/>
  <c r="B26" i="8"/>
  <c r="B24" i="8"/>
  <c r="B22" i="8"/>
  <c r="B20" i="8"/>
  <c r="B18" i="8"/>
  <c r="B16" i="8"/>
  <c r="A16" i="8"/>
  <c r="B14" i="8"/>
  <c r="A14" i="8"/>
  <c r="B12" i="8"/>
  <c r="A12" i="8"/>
  <c r="B10" i="8"/>
  <c r="A10" i="8"/>
  <c r="B8" i="8"/>
  <c r="A8" i="8"/>
  <c r="B6" i="8"/>
  <c r="A6" i="8"/>
  <c r="J22" i="8"/>
  <c r="F24" i="7" l="1"/>
  <c r="F23" i="7"/>
  <c r="F20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D4" i="7"/>
  <c r="J323" i="1" l="1"/>
  <c r="E276" i="1"/>
  <c r="I9" i="4"/>
  <c r="G11" i="4"/>
  <c r="H68" i="1" l="1"/>
  <c r="J68" i="1" s="1"/>
  <c r="I66" i="1"/>
  <c r="J66" i="1" s="1"/>
  <c r="E65" i="1" l="1"/>
  <c r="H65" i="1"/>
  <c r="J65" i="1" s="1"/>
  <c r="H8" i="6" l="1"/>
  <c r="H9" i="6" s="1"/>
  <c r="G8" i="5" l="1"/>
  <c r="G10" i="5" s="1"/>
  <c r="I12" i="4"/>
  <c r="H276" i="1" s="1"/>
  <c r="J276" i="1" s="1"/>
  <c r="H217" i="3" l="1"/>
  <c r="H218" i="3"/>
  <c r="G161" i="3" l="1"/>
  <c r="L85" i="2" l="1"/>
  <c r="O83" i="2"/>
  <c r="N83" i="2"/>
  <c r="O82" i="2"/>
  <c r="N82" i="2"/>
  <c r="O81" i="2"/>
  <c r="N81" i="2"/>
  <c r="O75" i="2"/>
  <c r="O74" i="2"/>
  <c r="N74" i="2"/>
  <c r="O61" i="2"/>
  <c r="N61" i="2"/>
  <c r="N66" i="2"/>
  <c r="O59" i="2"/>
  <c r="N59" i="2"/>
  <c r="N56" i="2"/>
  <c r="O49" i="2"/>
  <c r="N50" i="2"/>
  <c r="O52" i="2"/>
  <c r="N52" i="2"/>
  <c r="O47" i="2"/>
  <c r="N47" i="2"/>
  <c r="H22" i="2"/>
  <c r="O46" i="2"/>
  <c r="N46" i="2"/>
  <c r="I263" i="1"/>
  <c r="J263" i="1" s="1"/>
  <c r="I287" i="1"/>
  <c r="J287" i="1" s="1"/>
  <c r="I292" i="1"/>
  <c r="J292" i="1" s="1"/>
  <c r="I37" i="1"/>
  <c r="G36" i="1"/>
  <c r="I36" i="1"/>
  <c r="G6" i="2"/>
  <c r="I29" i="1"/>
  <c r="J29" i="1" s="1"/>
  <c r="E243" i="1"/>
  <c r="H262" i="3"/>
  <c r="H261" i="3"/>
  <c r="J36" i="1" l="1"/>
  <c r="J37" i="1"/>
  <c r="H263" i="3"/>
  <c r="I156" i="1"/>
  <c r="H256" i="3"/>
  <c r="H255" i="3"/>
  <c r="I71" i="1"/>
  <c r="J71" i="1" s="1"/>
  <c r="H248" i="3"/>
  <c r="H249" i="3"/>
  <c r="H243" i="3"/>
  <c r="H244" i="3"/>
  <c r="H245" i="3"/>
  <c r="H246" i="3"/>
  <c r="H247" i="3"/>
  <c r="H250" i="3"/>
  <c r="H242" i="3"/>
  <c r="I124" i="1"/>
  <c r="J124" i="1" s="1"/>
  <c r="E124" i="1"/>
  <c r="H236" i="3"/>
  <c r="H237" i="3"/>
  <c r="H235" i="3"/>
  <c r="H231" i="3"/>
  <c r="H230" i="3"/>
  <c r="H229" i="3"/>
  <c r="E110" i="1"/>
  <c r="H223" i="3"/>
  <c r="H224" i="3"/>
  <c r="H222" i="3"/>
  <c r="H257" i="3" l="1"/>
  <c r="H251" i="3"/>
  <c r="H225" i="3"/>
  <c r="H232" i="3"/>
  <c r="H238" i="3"/>
  <c r="G289" i="1"/>
  <c r="G278" i="1"/>
  <c r="I72" i="1"/>
  <c r="J72" i="1" s="1"/>
  <c r="H219" i="3" l="1"/>
  <c r="E48" i="1"/>
  <c r="H212" i="3"/>
  <c r="H210" i="3"/>
  <c r="F211" i="3"/>
  <c r="H211" i="3" s="1"/>
  <c r="G62" i="1"/>
  <c r="E47" i="1"/>
  <c r="F204" i="3"/>
  <c r="F203" i="3"/>
  <c r="H203" i="3" s="1"/>
  <c r="H206" i="3"/>
  <c r="H205" i="3"/>
  <c r="H204" i="3"/>
  <c r="F202" i="3"/>
  <c r="H202" i="3" s="1"/>
  <c r="H201" i="3"/>
  <c r="H200" i="3"/>
  <c r="H199" i="3"/>
  <c r="E46" i="1"/>
  <c r="F191" i="3"/>
  <c r="H191" i="3" s="1"/>
  <c r="F192" i="3"/>
  <c r="H192" i="3" s="1"/>
  <c r="H194" i="3"/>
  <c r="H193" i="3"/>
  <c r="H190" i="3"/>
  <c r="H189" i="3"/>
  <c r="H188" i="3"/>
  <c r="E45" i="1"/>
  <c r="F180" i="3"/>
  <c r="H180" i="3" s="1"/>
  <c r="H178" i="3"/>
  <c r="H179" i="3"/>
  <c r="H182" i="3"/>
  <c r="H183" i="3"/>
  <c r="H177" i="3"/>
  <c r="F181" i="3"/>
  <c r="H181" i="3" s="1"/>
  <c r="H169" i="3"/>
  <c r="H170" i="3"/>
  <c r="H171" i="3"/>
  <c r="H172" i="3"/>
  <c r="H168" i="3"/>
  <c r="D104" i="2"/>
  <c r="F104" i="2" s="1"/>
  <c r="D103" i="2"/>
  <c r="F103" i="2" s="1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50" i="3"/>
  <c r="O7" i="2"/>
  <c r="G18" i="1"/>
  <c r="G296" i="1"/>
  <c r="F105" i="2" l="1"/>
  <c r="H213" i="3"/>
  <c r="H48" i="1" s="1"/>
  <c r="I48" i="1" s="1"/>
  <c r="J48" i="1" s="1"/>
  <c r="H173" i="3"/>
  <c r="L32" i="1" s="1"/>
  <c r="H164" i="3"/>
  <c r="H184" i="3"/>
  <c r="H45" i="1" s="1"/>
  <c r="I45" i="1" s="1"/>
  <c r="J45" i="1" s="1"/>
  <c r="H207" i="3"/>
  <c r="H47" i="1" s="1"/>
  <c r="I47" i="1" s="1"/>
  <c r="J47" i="1" s="1"/>
  <c r="H195" i="3"/>
  <c r="H46" i="1" s="1"/>
  <c r="I46" i="1" s="1"/>
  <c r="J46" i="1" s="1"/>
  <c r="I174" i="1"/>
  <c r="J174" i="1" s="1"/>
  <c r="I44" i="1"/>
  <c r="J44" i="1" s="1"/>
  <c r="H145" i="3"/>
  <c r="H144" i="3"/>
  <c r="I43" i="1"/>
  <c r="J43" i="1" s="1"/>
  <c r="F132" i="3"/>
  <c r="H132" i="3" s="1"/>
  <c r="F131" i="3"/>
  <c r="H131" i="3" s="1"/>
  <c r="F130" i="3"/>
  <c r="H130" i="3" s="1"/>
  <c r="F129" i="3"/>
  <c r="H129" i="3" s="1"/>
  <c r="H127" i="3"/>
  <c r="H133" i="3"/>
  <c r="H134" i="3"/>
  <c r="H126" i="3"/>
  <c r="F128" i="3"/>
  <c r="H128" i="3" s="1"/>
  <c r="H140" i="3"/>
  <c r="H139" i="3"/>
  <c r="H138" i="3"/>
  <c r="I42" i="1"/>
  <c r="J42" i="1" s="1"/>
  <c r="E42" i="1"/>
  <c r="G227" i="1"/>
  <c r="H115" i="3"/>
  <c r="H118" i="3"/>
  <c r="F120" i="3"/>
  <c r="H120" i="3" s="1"/>
  <c r="F119" i="3"/>
  <c r="H119" i="3" s="1"/>
  <c r="F117" i="3"/>
  <c r="H117" i="3" s="1"/>
  <c r="F116" i="3"/>
  <c r="H116" i="3" s="1"/>
  <c r="F114" i="3"/>
  <c r="H114" i="3" s="1"/>
  <c r="G124" i="3"/>
  <c r="G298" i="1"/>
  <c r="D95" i="2"/>
  <c r="D93" i="2"/>
  <c r="D96" i="2"/>
  <c r="D98" i="2" s="1"/>
  <c r="G270" i="1"/>
  <c r="G269" i="1"/>
  <c r="G50" i="1"/>
  <c r="I301" i="1"/>
  <c r="J301" i="1" s="1"/>
  <c r="I272" i="1"/>
  <c r="J272" i="1" s="1"/>
  <c r="I74" i="1"/>
  <c r="J74" i="1" s="1"/>
  <c r="I75" i="1"/>
  <c r="J75" i="1" s="1"/>
  <c r="I73" i="1"/>
  <c r="J73" i="1" s="1"/>
  <c r="D87" i="2"/>
  <c r="D86" i="2"/>
  <c r="J82" i="2"/>
  <c r="J81" i="2"/>
  <c r="C58" i="2"/>
  <c r="I281" i="1"/>
  <c r="H110" i="3"/>
  <c r="H109" i="3"/>
  <c r="G108" i="3"/>
  <c r="H108" i="3" s="1"/>
  <c r="H107" i="3"/>
  <c r="G281" i="1"/>
  <c r="I280" i="1"/>
  <c r="G280" i="1"/>
  <c r="E280" i="1"/>
  <c r="H101" i="3"/>
  <c r="H102" i="3"/>
  <c r="H99" i="3"/>
  <c r="G100" i="3"/>
  <c r="H100" i="3" s="1"/>
  <c r="I270" i="1"/>
  <c r="I269" i="1"/>
  <c r="I171" i="1"/>
  <c r="J171" i="1" s="1"/>
  <c r="E171" i="1"/>
  <c r="F95" i="3"/>
  <c r="H95" i="3" s="1"/>
  <c r="F94" i="3"/>
  <c r="H94" i="3" s="1"/>
  <c r="I170" i="1"/>
  <c r="J170" i="1" s="1"/>
  <c r="E170" i="1"/>
  <c r="H89" i="3"/>
  <c r="H88" i="3"/>
  <c r="G168" i="1"/>
  <c r="D94" i="2" l="1"/>
  <c r="D100" i="2" s="1"/>
  <c r="H146" i="3"/>
  <c r="H90" i="3"/>
  <c r="H141" i="3"/>
  <c r="H135" i="3"/>
  <c r="H96" i="3"/>
  <c r="H103" i="3"/>
  <c r="H121" i="3"/>
  <c r="J280" i="1"/>
  <c r="J270" i="1"/>
  <c r="J281" i="1"/>
  <c r="H111" i="3"/>
  <c r="J269" i="1"/>
  <c r="G152" i="1" l="1"/>
  <c r="G84" i="1"/>
  <c r="G156" i="1"/>
  <c r="J156" i="1" s="1"/>
  <c r="G155" i="1"/>
  <c r="G100" i="1"/>
  <c r="G98" i="1"/>
  <c r="G154" i="1"/>
  <c r="G77" i="1"/>
  <c r="G131" i="1"/>
  <c r="G78" i="1"/>
  <c r="G119" i="1"/>
  <c r="G129" i="1"/>
  <c r="G127" i="1"/>
  <c r="G97" i="1"/>
  <c r="G105" i="1"/>
  <c r="G132" i="1"/>
  <c r="G114" i="1"/>
  <c r="G113" i="1"/>
  <c r="G109" i="1"/>
  <c r="G107" i="1"/>
  <c r="G122" i="1"/>
  <c r="G101" i="1"/>
  <c r="G89" i="1"/>
  <c r="G93" i="1"/>
  <c r="G88" i="1"/>
  <c r="G92" i="1"/>
  <c r="G118" i="1"/>
  <c r="G115" i="1"/>
  <c r="G91" i="1"/>
  <c r="G90" i="1"/>
  <c r="I131" i="1"/>
  <c r="E131" i="1"/>
  <c r="H82" i="3"/>
  <c r="H83" i="3"/>
  <c r="G81" i="3"/>
  <c r="H81" i="3" s="1"/>
  <c r="G95" i="1"/>
  <c r="H84" i="3" l="1"/>
  <c r="J131" i="1"/>
  <c r="G293" i="1"/>
  <c r="I291" i="1"/>
  <c r="J291" i="1" s="1"/>
  <c r="J85" i="2"/>
  <c r="G225" i="1"/>
  <c r="K82" i="2"/>
  <c r="K79" i="2"/>
  <c r="K80" i="2"/>
  <c r="K78" i="2"/>
  <c r="K75" i="2"/>
  <c r="K74" i="2"/>
  <c r="K67" i="2"/>
  <c r="K66" i="2"/>
  <c r="K65" i="2"/>
  <c r="K64" i="2"/>
  <c r="K61" i="2"/>
  <c r="K59" i="2"/>
  <c r="K60" i="2"/>
  <c r="K50" i="2"/>
  <c r="K51" i="2"/>
  <c r="K49" i="2"/>
  <c r="K47" i="2"/>
  <c r="L82" i="2"/>
  <c r="L79" i="2"/>
  <c r="L80" i="2"/>
  <c r="L78" i="2"/>
  <c r="L75" i="2"/>
  <c r="L74" i="2"/>
  <c r="L65" i="2"/>
  <c r="L66" i="2"/>
  <c r="L67" i="2"/>
  <c r="L64" i="2"/>
  <c r="L61" i="2"/>
  <c r="L59" i="2"/>
  <c r="L50" i="2"/>
  <c r="L51" i="2"/>
  <c r="L49" i="2"/>
  <c r="L47" i="2"/>
  <c r="K48" i="2"/>
  <c r="K46" i="2"/>
  <c r="L46" i="2"/>
  <c r="G260" i="1"/>
  <c r="G262" i="1" s="1"/>
  <c r="D7" i="2"/>
  <c r="D6" i="2"/>
  <c r="K52" i="2"/>
  <c r="K54" i="2"/>
  <c r="K55" i="2"/>
  <c r="K56" i="2"/>
  <c r="K57" i="2"/>
  <c r="K58" i="2"/>
  <c r="K62" i="2"/>
  <c r="K63" i="2"/>
  <c r="K68" i="2"/>
  <c r="K69" i="2"/>
  <c r="K70" i="2"/>
  <c r="K71" i="2"/>
  <c r="K72" i="2"/>
  <c r="K73" i="2"/>
  <c r="K76" i="2"/>
  <c r="K77" i="2"/>
  <c r="K81" i="2"/>
  <c r="K45" i="2"/>
  <c r="I80" i="2"/>
  <c r="I79" i="2"/>
  <c r="I78" i="2"/>
  <c r="I67" i="2"/>
  <c r="I66" i="2"/>
  <c r="I65" i="2"/>
  <c r="J77" i="2"/>
  <c r="J76" i="2"/>
  <c r="J75" i="2"/>
  <c r="J74" i="2"/>
  <c r="J73" i="2"/>
  <c r="J72" i="2"/>
  <c r="J71" i="2"/>
  <c r="J70" i="2"/>
  <c r="J69" i="2"/>
  <c r="J68" i="2"/>
  <c r="J63" i="2"/>
  <c r="J62" i="2"/>
  <c r="J61" i="2"/>
  <c r="J60" i="2"/>
  <c r="J59" i="2"/>
  <c r="J58" i="2"/>
  <c r="J57" i="2"/>
  <c r="J56" i="2"/>
  <c r="J53" i="2"/>
  <c r="J54" i="2"/>
  <c r="J55" i="2"/>
  <c r="I50" i="2"/>
  <c r="I51" i="2"/>
  <c r="I49" i="2"/>
  <c r="J48" i="2"/>
  <c r="J47" i="2"/>
  <c r="J46" i="2"/>
  <c r="H46" i="2"/>
  <c r="J45" i="2"/>
  <c r="H45" i="2"/>
  <c r="D40" i="2"/>
  <c r="H71" i="3"/>
  <c r="H72" i="3"/>
  <c r="H73" i="3"/>
  <c r="H74" i="3"/>
  <c r="H75" i="3"/>
  <c r="H76" i="3"/>
  <c r="H77" i="3"/>
  <c r="H70" i="3"/>
  <c r="D37" i="2"/>
  <c r="D34" i="2"/>
  <c r="D33" i="2"/>
  <c r="D32" i="2"/>
  <c r="I274" i="1"/>
  <c r="J274" i="1" s="1"/>
  <c r="J24" i="2"/>
  <c r="J25" i="2"/>
  <c r="J26" i="2"/>
  <c r="J27" i="2"/>
  <c r="J23" i="2"/>
  <c r="J29" i="2" s="1"/>
  <c r="I230" i="1"/>
  <c r="J230" i="1" s="1"/>
  <c r="I232" i="1"/>
  <c r="J232" i="1" s="1"/>
  <c r="I233" i="1"/>
  <c r="G216" i="1"/>
  <c r="I217" i="1"/>
  <c r="J217" i="1" s="1"/>
  <c r="G60" i="1"/>
  <c r="E60" i="1"/>
  <c r="H61" i="3"/>
  <c r="H60" i="3"/>
  <c r="H62" i="3"/>
  <c r="H63" i="3"/>
  <c r="H64" i="3"/>
  <c r="H65" i="3"/>
  <c r="H59" i="3"/>
  <c r="H52" i="3"/>
  <c r="H53" i="3"/>
  <c r="H54" i="3"/>
  <c r="H55" i="3"/>
  <c r="H49" i="3"/>
  <c r="H51" i="3"/>
  <c r="H50" i="3"/>
  <c r="H41" i="3"/>
  <c r="H40" i="3"/>
  <c r="H42" i="3"/>
  <c r="H43" i="3"/>
  <c r="H44" i="3"/>
  <c r="H45" i="3"/>
  <c r="H39" i="3"/>
  <c r="I15" i="2"/>
  <c r="I16" i="2"/>
  <c r="I17" i="2"/>
  <c r="I18" i="2"/>
  <c r="I19" i="2"/>
  <c r="I20" i="2"/>
  <c r="I21" i="2"/>
  <c r="I14" i="2"/>
  <c r="F15" i="2"/>
  <c r="F16" i="2"/>
  <c r="F17" i="2"/>
  <c r="H17" i="2" s="1"/>
  <c r="F18" i="2"/>
  <c r="H18" i="2" s="1"/>
  <c r="F19" i="2"/>
  <c r="H19" i="2" s="1"/>
  <c r="F20" i="2"/>
  <c r="H20" i="2" s="1"/>
  <c r="F21" i="2"/>
  <c r="H21" i="2" s="1"/>
  <c r="F14" i="2"/>
  <c r="E59" i="1"/>
  <c r="F29" i="3"/>
  <c r="F28" i="3"/>
  <c r="F35" i="3" s="1"/>
  <c r="H35" i="3" s="1"/>
  <c r="E58" i="1"/>
  <c r="F16" i="3"/>
  <c r="F23" i="3" s="1"/>
  <c r="H23" i="3" s="1"/>
  <c r="H16" i="2"/>
  <c r="F53" i="1"/>
  <c r="E53" i="1"/>
  <c r="F5" i="3"/>
  <c r="H5" i="3" s="1"/>
  <c r="F4" i="3"/>
  <c r="I22" i="2" l="1"/>
  <c r="J28" i="2"/>
  <c r="D35" i="2"/>
  <c r="E37" i="2" s="1"/>
  <c r="J84" i="2"/>
  <c r="D88" i="2" s="1"/>
  <c r="I84" i="2"/>
  <c r="H78" i="3"/>
  <c r="I267" i="1" s="1"/>
  <c r="J267" i="1" s="1"/>
  <c r="J258" i="1" s="1"/>
  <c r="F7" i="3"/>
  <c r="H7" i="3" s="1"/>
  <c r="F30" i="3"/>
  <c r="H30" i="3" s="1"/>
  <c r="F31" i="3"/>
  <c r="H31" i="3" s="1"/>
  <c r="K84" i="2"/>
  <c r="K85" i="2" s="1"/>
  <c r="L84" i="2"/>
  <c r="J233" i="1"/>
  <c r="H56" i="3"/>
  <c r="H4" i="3"/>
  <c r="F10" i="3"/>
  <c r="H10" i="3" s="1"/>
  <c r="F11" i="3"/>
  <c r="H11" i="3" s="1"/>
  <c r="F17" i="3"/>
  <c r="H17" i="3" s="1"/>
  <c r="F8" i="3"/>
  <c r="H8" i="3" s="1"/>
  <c r="F6" i="3"/>
  <c r="H6" i="3" s="1"/>
  <c r="F9" i="3"/>
  <c r="H9" i="3" s="1"/>
  <c r="H16" i="3"/>
  <c r="H66" i="3"/>
  <c r="H46" i="3"/>
  <c r="F32" i="3"/>
  <c r="H32" i="3" s="1"/>
  <c r="F34" i="3"/>
  <c r="H34" i="3" s="1"/>
  <c r="H28" i="3"/>
  <c r="H29" i="3"/>
  <c r="F33" i="3"/>
  <c r="H33" i="3" s="1"/>
  <c r="F21" i="3"/>
  <c r="H21" i="3" s="1"/>
  <c r="F22" i="3"/>
  <c r="H22" i="3" s="1"/>
  <c r="F20" i="3"/>
  <c r="H20" i="3" s="1"/>
  <c r="E33" i="8" l="1"/>
  <c r="E38" i="8" s="1"/>
  <c r="D33" i="8"/>
  <c r="O303" i="1"/>
  <c r="F33" i="8"/>
  <c r="F38" i="8" s="1"/>
  <c r="G33" i="8"/>
  <c r="G38" i="8" s="1"/>
  <c r="J305" i="1"/>
  <c r="H12" i="3"/>
  <c r="H53" i="1" s="1"/>
  <c r="F19" i="3"/>
  <c r="H19" i="3" s="1"/>
  <c r="F18" i="3"/>
  <c r="H18" i="3" s="1"/>
  <c r="H36" i="3"/>
  <c r="H59" i="1" s="1"/>
  <c r="J33" i="8" l="1"/>
  <c r="D38" i="8"/>
  <c r="H24" i="3"/>
  <c r="H58" i="1" s="1"/>
  <c r="I58" i="1" s="1"/>
  <c r="J58" i="1" s="1"/>
  <c r="H15" i="2"/>
  <c r="H14" i="2"/>
  <c r="D4" i="2"/>
  <c r="D5" i="2" s="1"/>
  <c r="F5" i="2" s="1"/>
  <c r="I77" i="1"/>
  <c r="J77" i="1" s="1"/>
  <c r="I78" i="1"/>
  <c r="J78" i="1" s="1"/>
  <c r="I80" i="1"/>
  <c r="J80" i="1" s="1"/>
  <c r="I81" i="1"/>
  <c r="J81" i="1" s="1"/>
  <c r="I83" i="1"/>
  <c r="J83" i="1" s="1"/>
  <c r="I84" i="1"/>
  <c r="J84" i="1" s="1"/>
  <c r="I86" i="1"/>
  <c r="J86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4" i="1"/>
  <c r="J104" i="1" s="1"/>
  <c r="I105" i="1"/>
  <c r="J105" i="1" s="1"/>
  <c r="I107" i="1"/>
  <c r="J107" i="1" s="1"/>
  <c r="I108" i="1"/>
  <c r="J108" i="1" s="1"/>
  <c r="I109" i="1"/>
  <c r="J109" i="1" s="1"/>
  <c r="I110" i="1"/>
  <c r="J110" i="1" s="1"/>
  <c r="I111" i="1"/>
  <c r="J111" i="1" s="1"/>
  <c r="I113" i="1"/>
  <c r="J113" i="1" s="1"/>
  <c r="I114" i="1"/>
  <c r="J114" i="1" s="1"/>
  <c r="I115" i="1"/>
  <c r="J115" i="1" s="1"/>
  <c r="I117" i="1"/>
  <c r="J117" i="1" s="1"/>
  <c r="I118" i="1"/>
  <c r="J118" i="1" s="1"/>
  <c r="I119" i="1"/>
  <c r="J119" i="1" s="1"/>
  <c r="I120" i="1"/>
  <c r="J120" i="1" s="1"/>
  <c r="I122" i="1"/>
  <c r="J122" i="1" s="1"/>
  <c r="I126" i="1"/>
  <c r="J126" i="1" s="1"/>
  <c r="I127" i="1"/>
  <c r="J127" i="1" s="1"/>
  <c r="I129" i="1"/>
  <c r="J129" i="1" s="1"/>
  <c r="I132" i="1"/>
  <c r="J132" i="1" s="1"/>
  <c r="I134" i="1"/>
  <c r="J134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7" i="1"/>
  <c r="J147" i="1" s="1"/>
  <c r="I148" i="1"/>
  <c r="J148" i="1" s="1"/>
  <c r="I151" i="1"/>
  <c r="J151" i="1" s="1"/>
  <c r="I152" i="1"/>
  <c r="J152" i="1" s="1"/>
  <c r="I154" i="1"/>
  <c r="J154" i="1" s="1"/>
  <c r="I155" i="1"/>
  <c r="J155" i="1" s="1"/>
  <c r="I159" i="1"/>
  <c r="J159" i="1" s="1"/>
  <c r="I161" i="1"/>
  <c r="J161" i="1" s="1"/>
  <c r="I163" i="1"/>
  <c r="J163" i="1" s="1"/>
  <c r="I164" i="1"/>
  <c r="J164" i="1" s="1"/>
  <c r="I166" i="1"/>
  <c r="J166" i="1" s="1"/>
  <c r="I168" i="1"/>
  <c r="J168" i="1" s="1"/>
  <c r="I176" i="1"/>
  <c r="J176" i="1" s="1"/>
  <c r="I178" i="1"/>
  <c r="J178" i="1" s="1"/>
  <c r="I180" i="1"/>
  <c r="J180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1" i="1"/>
  <c r="J191" i="1" s="1"/>
  <c r="I192" i="1"/>
  <c r="J192" i="1" s="1"/>
  <c r="I193" i="1"/>
  <c r="J193" i="1" s="1"/>
  <c r="I194" i="1"/>
  <c r="J194" i="1" s="1"/>
  <c r="I195" i="1"/>
  <c r="J195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4" i="1"/>
  <c r="J204" i="1" s="1"/>
  <c r="I205" i="1"/>
  <c r="J205" i="1" s="1"/>
  <c r="I206" i="1"/>
  <c r="J206" i="1" s="1"/>
  <c r="I207" i="1"/>
  <c r="J207" i="1" s="1"/>
  <c r="I209" i="1"/>
  <c r="J209" i="1" s="1"/>
  <c r="I210" i="1"/>
  <c r="J210" i="1" s="1"/>
  <c r="I211" i="1"/>
  <c r="J211" i="1" s="1"/>
  <c r="I212" i="1"/>
  <c r="J212" i="1" s="1"/>
  <c r="I213" i="1"/>
  <c r="J213" i="1" s="1"/>
  <c r="I215" i="1"/>
  <c r="J215" i="1" s="1"/>
  <c r="I216" i="1"/>
  <c r="J216" i="1" s="1"/>
  <c r="I218" i="1"/>
  <c r="J218" i="1" s="1"/>
  <c r="I220" i="1"/>
  <c r="J220" i="1" s="1"/>
  <c r="I222" i="1"/>
  <c r="J222" i="1" s="1"/>
  <c r="I225" i="1"/>
  <c r="J225" i="1" s="1"/>
  <c r="I227" i="1"/>
  <c r="J227" i="1" s="1"/>
  <c r="I228" i="1"/>
  <c r="J228" i="1" s="1"/>
  <c r="I235" i="1"/>
  <c r="J235" i="1" s="1"/>
  <c r="I237" i="1"/>
  <c r="J237" i="1" s="1"/>
  <c r="I238" i="1"/>
  <c r="J238" i="1" s="1"/>
  <c r="I240" i="1"/>
  <c r="J240" i="1" s="1"/>
  <c r="I241" i="1"/>
  <c r="J241" i="1" s="1"/>
  <c r="I243" i="1"/>
  <c r="J243" i="1" s="1"/>
  <c r="I244" i="1"/>
  <c r="J244" i="1" s="1"/>
  <c r="I246" i="1"/>
  <c r="J246" i="1" s="1"/>
  <c r="I247" i="1"/>
  <c r="J247" i="1" s="1"/>
  <c r="I248" i="1"/>
  <c r="J248" i="1" s="1"/>
  <c r="I250" i="1"/>
  <c r="J250" i="1" s="1"/>
  <c r="I252" i="1"/>
  <c r="J252" i="1" s="1"/>
  <c r="I253" i="1"/>
  <c r="J253" i="1" s="1"/>
  <c r="I255" i="1"/>
  <c r="J255" i="1" s="1"/>
  <c r="I257" i="1"/>
  <c r="J257" i="1" s="1"/>
  <c r="I260" i="1"/>
  <c r="J260" i="1" s="1"/>
  <c r="I262" i="1"/>
  <c r="J262" i="1" s="1"/>
  <c r="I265" i="1"/>
  <c r="J265" i="1" s="1"/>
  <c r="I300" i="1"/>
  <c r="J300" i="1" s="1"/>
  <c r="I278" i="1"/>
  <c r="J278" i="1" s="1"/>
  <c r="I284" i="1"/>
  <c r="J284" i="1" s="1"/>
  <c r="I286" i="1"/>
  <c r="J286" i="1" s="1"/>
  <c r="I289" i="1"/>
  <c r="J289" i="1" s="1"/>
  <c r="I293" i="1"/>
  <c r="J293" i="1" s="1"/>
  <c r="I296" i="1"/>
  <c r="J296" i="1" s="1"/>
  <c r="I298" i="1"/>
  <c r="J298" i="1" s="1"/>
  <c r="I303" i="1"/>
  <c r="J303" i="1" s="1"/>
  <c r="I62" i="1"/>
  <c r="J62" i="1" s="1"/>
  <c r="I63" i="1"/>
  <c r="J63" i="1" s="1"/>
  <c r="I53" i="1"/>
  <c r="J53" i="1" s="1"/>
  <c r="I54" i="1"/>
  <c r="J54" i="1" s="1"/>
  <c r="I55" i="1"/>
  <c r="J55" i="1" s="1"/>
  <c r="I56" i="1"/>
  <c r="J56" i="1" s="1"/>
  <c r="I57" i="1"/>
  <c r="J57" i="1" s="1"/>
  <c r="I59" i="1"/>
  <c r="J59" i="1" s="1"/>
  <c r="I60" i="1"/>
  <c r="J60" i="1" s="1"/>
  <c r="I52" i="1"/>
  <c r="J52" i="1" s="1"/>
  <c r="I50" i="1"/>
  <c r="J50" i="1" s="1"/>
  <c r="I41" i="1"/>
  <c r="J41" i="1" s="1"/>
  <c r="I40" i="1"/>
  <c r="J40" i="1" s="1"/>
  <c r="C10" i="2"/>
  <c r="C9" i="2"/>
  <c r="I34" i="1"/>
  <c r="J34" i="1" s="1"/>
  <c r="I32" i="1"/>
  <c r="J32" i="1" s="1"/>
  <c r="E5" i="2"/>
  <c r="E4" i="2"/>
  <c r="D3" i="2"/>
  <c r="E3" i="2"/>
  <c r="I27" i="1"/>
  <c r="J27" i="1" s="1"/>
  <c r="I23" i="1"/>
  <c r="J23" i="1" s="1"/>
  <c r="I24" i="1"/>
  <c r="J24" i="1" s="1"/>
  <c r="I25" i="1"/>
  <c r="J25" i="1" s="1"/>
  <c r="I20" i="1"/>
  <c r="J20" i="1" s="1"/>
  <c r="I18" i="1"/>
  <c r="J18" i="1" s="1"/>
  <c r="I16" i="1"/>
  <c r="J16" i="1" s="1"/>
  <c r="I13" i="1"/>
  <c r="J13" i="1" s="1"/>
  <c r="I12" i="1"/>
  <c r="G12" i="1"/>
  <c r="J38" i="8" l="1"/>
  <c r="D39" i="8"/>
  <c r="F4" i="2"/>
  <c r="C11" i="2"/>
  <c r="F3" i="2"/>
  <c r="F6" i="2" s="1"/>
  <c r="J12" i="1"/>
  <c r="I39" i="8" l="1"/>
  <c r="H39" i="8"/>
  <c r="C39" i="8"/>
  <c r="E39" i="8"/>
  <c r="F39" i="8"/>
  <c r="G39" i="8"/>
  <c r="N323" i="1"/>
  <c r="J39" i="8" l="1"/>
  <c r="J325" i="1"/>
  <c r="J326" i="1" s="1"/>
  <c r="J324" i="1"/>
  <c r="F7" i="1"/>
  <c r="M38" i="8" s="1"/>
</calcChain>
</file>

<file path=xl/sharedStrings.xml><?xml version="1.0" encoding="utf-8"?>
<sst xmlns="http://schemas.openxmlformats.org/spreadsheetml/2006/main" count="2013" uniqueCount="1074">
  <si>
    <t>CODIGO</t>
  </si>
  <si>
    <t>DESCRIÇÃO DO SERVIÇO</t>
  </si>
  <si>
    <t>UNID. MEDIDA</t>
  </si>
  <si>
    <t>CUSTOS</t>
  </si>
  <si>
    <t>TOTAL</t>
  </si>
  <si>
    <t/>
  </si>
  <si>
    <t>M2</t>
  </si>
  <si>
    <t>M</t>
  </si>
  <si>
    <t>UN</t>
  </si>
  <si>
    <t>74209/1</t>
  </si>
  <si>
    <t>PLACA DE OBRA EM CHAPA DE ACO GALVANIZADO</t>
  </si>
  <si>
    <t>SERVIÇOS PRELIMINARES</t>
  </si>
  <si>
    <t>MONTAGEM E DESMONTAGEM DE ANDAIME MODULAR FACHADEIRO, COM PISO METÁLICO, PARA EDIFICAÇÕES COM MÚLTIPLOS PAVIMENTOS (EXCLUSIVE ANDAIME E LIMPEZA). AF_11/2017</t>
  </si>
  <si>
    <t>M3</t>
  </si>
  <si>
    <t>MOVIMENTO DE TERRA</t>
  </si>
  <si>
    <t>ESCAVAÇÃO MANUAL</t>
  </si>
  <si>
    <t>ESCAVAÇÃO MANUAL DE VALA COM PROFUNDIDADE MENOR OU IGUAL A 1,30 M. AF_03/2016</t>
  </si>
  <si>
    <t>TRANSPORTE DE MATERIAIS</t>
  </si>
  <si>
    <t>M3XKM</t>
  </si>
  <si>
    <t>TRANSPORTE COM CAMINHÃO BASCULANTE DE 10 M3, EM VIA URBANA PAVIMENTADA, DMT ATÉ 30 KM (UNIDADE: M3XKM). AF_12/2016</t>
  </si>
  <si>
    <t>KG</t>
  </si>
  <si>
    <t>LASTROS</t>
  </si>
  <si>
    <t>LASTRO DE VALA COM PREPARO DE FUNDO, LARGURA MENOR QUE 1,5 M, COM CAMADA DE AREIA, LANÇAMENTO MANUAL, EM LOCAL COM NÍVEL BAIXO DE INTERFERÊNCIA. AF_06/2016</t>
  </si>
  <si>
    <t>ELEMENTOS ESTRUTURAIS DIVERSOS</t>
  </si>
  <si>
    <t>CINTA, VERGA E CONTRAVERGA</t>
  </si>
  <si>
    <t>VERGA PRÉ-MOLDADA PARA JANELAS COM MAIS DE 1,5 M DE VÃO. AF_03/2016</t>
  </si>
  <si>
    <t>VERGA PRÉ-MOLDADA PARA PORTAS COM ATÉ 1,5 M DE VÃO. AF_03/2016</t>
  </si>
  <si>
    <t>VERGA PRÉ-MOLDADA PARA PORTAS COM MAIS DE 1,5 M DE VÃO. AF_03/2016</t>
  </si>
  <si>
    <t>ALVENARIA</t>
  </si>
  <si>
    <t>ENCUNHAMENTO</t>
  </si>
  <si>
    <t>DIVISÓRIAS E PAREDES</t>
  </si>
  <si>
    <t>DIVISÓRIAS</t>
  </si>
  <si>
    <t>DIVISORIA EM MARMORITE ESPESSURA 35MM, CHUMBAMENTO NO PISO E PAREDE COM ARGAMASSA DE CIMENTO E AREIA, POLIMENTO MANUAL, EXCLUSIVE FERRAGENS</t>
  </si>
  <si>
    <t>PAREDE</t>
  </si>
  <si>
    <t>ESQUADRIAS E ACESSÓRIOS</t>
  </si>
  <si>
    <t>PORTAS EM MADEIRA</t>
  </si>
  <si>
    <t>KIT DE PORTA DE MADEIRA PARA PINTURA, SEMI-OCA (LEVE OU MÉDIA), PADRÃO MÉDIO, 80X210CM, ESPESSURA DE 3,5CM, ITENS INCLUSOS: DOBRADIÇAS, MONTAGEM E INSTALAÇÃO DO BATENTE, FECHADURA COM EXECUÇÃO DO FURO - FORNECIMENTO E INSTALAÇÃO. AF_08/2015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</si>
  <si>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</si>
  <si>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JANELAS EM ALUMINIO</t>
  </si>
  <si>
    <t>FERRAGENS PARA ESQUADRIAS</t>
  </si>
  <si>
    <t>FECHADURA DE EMBUTIR COM CILINDRO, EXTERNA, COMPLETA, ACABAMENTO PADRÃO MÉDIO, INCLUSO EXECUÇÃO DE FURO - FORNECIMENTO E INSTALAÇÃO. AF_08/2015</t>
  </si>
  <si>
    <t>FECHADURA DE EMBUTIR PARA PORTA DE BANHEIRO, COMPLETA, ACABAMENTO PADRÃO MÉDIO, INCLUSO EXECUÇÃO DE FURO - FORNECIMENTO E INSTALAÇÃO. AF_08/2015</t>
  </si>
  <si>
    <t>ESQUADRIAS</t>
  </si>
  <si>
    <t>INSTALAÇÕES ELÉTRICAS</t>
  </si>
  <si>
    <t>ENTRADA DE ENERGIA</t>
  </si>
  <si>
    <t>ELETRODUTOS PVC FLEXIVEIS</t>
  </si>
  <si>
    <t>ELETRODUTO FLEXÍVEL CORRUGADO, PVC, DN 25 MM (3/4"), PARA CIRCUITOS TERMINAIS, INSTALADO EM PAREDE - FORNECIMENTO E INSTALAÇÃO. AF_12/2015</t>
  </si>
  <si>
    <t>ELETRODUTO FLEXÍVEL CORRUGADO, PVC, DN 32 MM (1"), PARA CIRCUITOS TERMINAIS, INSTALADO EM FORRO - FORNECIMENTO E INSTALAÇÃO. AF_12/2015</t>
  </si>
  <si>
    <t>ELETRODUTOS PVC RIGIDOS</t>
  </si>
  <si>
    <t>ELETRODUTO RÍGIDO ROSCÁVEL, PVC, DN 25 MM (3/4"), PARA CIRCUITOS TERMINAIS, INSTALADO EM PAREDE - FORNECIMENTO E INSTALAÇÃO. AF_12/2015</t>
  </si>
  <si>
    <t>ELETRODUTO RÍGIDO ROSCÁVEL, PVC, DN 75 MM (2 1/2") - FORNECIMENTO E INSTALAÇÃO. AF_12/2015</t>
  </si>
  <si>
    <t>ELETRODUTOS PEAD</t>
  </si>
  <si>
    <t>73798/3</t>
  </si>
  <si>
    <t>DUTO ESPIRAL FLEXIVEL SINGELO PEAD D=75MM(3") REVESTIDO COM PVC COM FIO GUIA DE ACO GALVANIZADO, LANCADO DIRETO NO SOLO, INCL CONEXOES</t>
  </si>
  <si>
    <t>ELETRODUTO FLEXÍVEL CORRUGADO, PEAD, DN 50 (1 ½)  - FORNECIMENTO E INSTALAÇÃO. AF_04/2016</t>
  </si>
  <si>
    <t>CONEXÕES DE ELETRODUTOS EM PVC</t>
  </si>
  <si>
    <t>LUVA PARA ELETRODUTO, PVC, ROSCÁVEL, DN 50 MM (1 1/2") - FORNECIMENTO E INSTALAÇÃO. AF_12/2015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</si>
  <si>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</si>
  <si>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</si>
  <si>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6 MM², ANTI-CHAMA 0,6/1,0 KV, PARA CIRCUITOS TERMINAIS - FORNECIMENTO E INSTALAÇÃO. AF_12/2015</t>
  </si>
  <si>
    <t>CABO DE COBRE FLEXÍVEL ISOLADO, 10 MM², ANTI-CHAMA 0,6/1,0 KV, PARA CIRCUITOS TERMINAIS - FORNECIMENTO E INSTALAÇÃO. AF_12/2015</t>
  </si>
  <si>
    <t>CABO DE COBRE FLEXÍVEL ISOLADO, 16 MM², ANTI-CHAMA 0,6/1,0 KV, PARA CIRCUITOS TERMINAIS - FORNECIMENTO E INSTALAÇÃO. AF_12/2015</t>
  </si>
  <si>
    <t>CABO DE COBRE FLEXÍVEL ISOLADO, 35 MM², ANTI-CHAMA 0,6/1,0 KV, PARA DISTRIBUIÇÃO - FORNECIMENTO E INSTALAÇÃO. AF_12/2015</t>
  </si>
  <si>
    <t>CABO DE COBRE FLEXÍVEL ISOLADO, 70 MM², ANTI-CHAMA 0,6/1,0 KV, PARA DISTRIBUIÇÃO - FORNECIMENTO E INSTALAÇÃO. AF_12/2015</t>
  </si>
  <si>
    <t>CABO DE COBRE FLEXÍVEL ISOLADO, 120 MM², ANTI-CHAMA 0,6/1,0 KV, PARA DISTRIBUIÇÃO - FORNECIMENTO E INSTALAÇÃO. AF_12/2015</t>
  </si>
  <si>
    <t>CAIXAS</t>
  </si>
  <si>
    <t>CAIXA OCTOGONAL 3" X 3", PVC, INSTALADA EM LAJE - FORNECIMENTO E INSTALAÇÃO. AF_12/2015</t>
  </si>
  <si>
    <t>CAIXA RETANGULAR 4" X 2" MÉDIA (1,30 M DO PISO), PVC, INSTALADA EM PAREDE - FORNECIMENTO E INSTALAÇÃO. AF_12/2015</t>
  </si>
  <si>
    <t>CAIXA RETANGULAR 4" X 4" MÉDIA (1,30 M DO PISO), PVC, INSTALADA EM PAREDE - FORNECIMENTO E INSTALAÇÃO. AF_12/2015</t>
  </si>
  <si>
    <t>CAIXA RETANGULAR 4" X 2" MÉDIA (1,30 M DO PISO), METÁLICA, INSTALADA EM PAREDE - FORNECIMENTO E INSTALAÇÃO. AF_12/2015</t>
  </si>
  <si>
    <t>CAIXA RETANGULAR 4" X 4" MÉDIA (1,30 M DO PISO), METÁLICA, INSTALADA EM PAREDE - FORNECIMENTO E INSTALAÇÃO. AF_12/2015</t>
  </si>
  <si>
    <t>CAIXA ENTERRADA ELÉTRICA RETANGULAR, EM ALVENARIA COM TIJOLOS CERÂMICOS MACIÇOS, FUNDO COM BRITA, DIMENSÕES INTERNAS: 0,4X0,4X0,4 M. AF_05/2018</t>
  </si>
  <si>
    <t>QUADROS DE ENERGIA</t>
  </si>
  <si>
    <t>QUADRO DE DISTRIBUICAO DE ENERGIA EM CHAPA DE ACO GALVANIZADO, PARA 12 DISJUNTORES TERMOMAGNETICOS MONOPOLARES, COM BARRAMENTO TRIFASICO E NEUTRO - FORNECIMENTO E INSTALACAO</t>
  </si>
  <si>
    <t>74131/7</t>
  </si>
  <si>
    <t>QUADRO DE DISTRIBUICAO DE ENERGIA DE EMBUTIR, EM CHAPA METALICA, PARA 40 DISJUNTORES TERMOMAGNETICOS MONOPOLARES, COM BARRAMENTO TRIFASICO E NEUTRO, FORNECIMENTO E INSTALACAO</t>
  </si>
  <si>
    <t>DISJUNTOR MONOPOLAR TIPO DIN, CORRENTE NOMINAL DE 20A - FORNECIMENTO E INSTALAÇÃO. AF_04/2016</t>
  </si>
  <si>
    <t>DISJUNTOR MONOPOLAR TIPO DIN, CORRENTE NOMINAL DE 25A - FORNECIMENTO E INSTALAÇÃO. AF_04/2016</t>
  </si>
  <si>
    <t>DISJUNTOR MONOPOLAR TIPO DIN, CORRENTE NOMINAL DE 32A - FORNECIMENTO E INSTALAÇÃO. AF_04/2016</t>
  </si>
  <si>
    <t>DISJUNTOR BIPOLAR TIPO DIN, CORRENTE NOMINAL DE 16A - FORNECIMENTO E INSTALAÇÃO. AF_04/2016</t>
  </si>
  <si>
    <t>DISJUNTOR BIPOLAR TIPO DIN, CORRENTE NOMINAL DE 20A - FORNECIMENTO E INSTALAÇÃO. AF_04/2016</t>
  </si>
  <si>
    <t>DISJUNTOR BIPOLAR TIPO DIN, CORRENTE NOMINAL DE 50A - FORNECIMENTO E INSTALAÇÃO. AF_04/2016</t>
  </si>
  <si>
    <t>TRIPOLARES</t>
  </si>
  <si>
    <t>74130/8</t>
  </si>
  <si>
    <t>DISJUNTOR TERMOMAGNETICO TRIPOLAR EM CAIXA MOLDADA 300 A 400A 600V, FORNECIMENTO E INSTALACAO</t>
  </si>
  <si>
    <t>74130/10</t>
  </si>
  <si>
    <t>DISJUNTOR TERMOMAGNETICO TRIPOLAR EM CAIXA MOLDADA 175 A 225A 240V, FORNECIMENTO E INSTALACAO</t>
  </si>
  <si>
    <t>DISJUNTOR TRIPOLAR TIPO DIN, CORRENTE NOMINAL DE 20A - FORNECIMENTO E INSTALAÇÃO. AF_04/2016</t>
  </si>
  <si>
    <t>DISJUNTOR TRIPOLAR TIPO DIN, CORRENTE NOMINAL DE 25A - FORNECIMENTO E INSTALAÇÃO. AF_04/2016</t>
  </si>
  <si>
    <t>INTERRUPTOR SIMPLES (1 MÓDULO), 10A/250V, INCLUINDO SUPORTE E PLACA - FORNECIMENTO E INSTALAÇÃO. AF_12/2015</t>
  </si>
  <si>
    <t>TOMADAS</t>
  </si>
  <si>
    <t>TOMADA MÉDIA DE EMBUTIR (1 MÓDULO), 2P+T 10 A, INCLUINDO SUPORTE E PLACA - FORNECIMENTO E INSTALAÇÃO. AF_12/2015</t>
  </si>
  <si>
    <t>TOMADA MÉDIA DE EMBUTIR (1 MÓDULO), 2P+T 20 A, INCLUINDO SUPORTE E PLACA - FORNECIMENTO E INSTALAÇÃO. AF_12/2015</t>
  </si>
  <si>
    <t>CAMPAINHAS E SENSORES</t>
  </si>
  <si>
    <t>SENSOR DE PRESENÇA SEM FOTOCÉLULA, FIXAÇÃO EM PAREDE - FORNECIMENTO E INSTALAÇÃO. AF_11/2017</t>
  </si>
  <si>
    <t>LUMINÁRIA TIPO PLAFON, DE SOBREPOR, COM 1 LÂMPADA LED - FORNECIMENTO E INSTALAÇÃO. AF_11/2017</t>
  </si>
  <si>
    <t>ILUMINAÇÃO DE EMERGÊNCIA</t>
  </si>
  <si>
    <t>LUMINÁRIA DE EMERGÊNCIA - FORNECIMENTO E INSTALAÇÃO. AF_11/2017</t>
  </si>
  <si>
    <t>SISTEMA DE PROTEÇÃO CONTRA DESCARGAS ATMOSFÉRICAS - SPDA</t>
  </si>
  <si>
    <t>HASTE DE ATERRAMENTO</t>
  </si>
  <si>
    <t>HASTE DE ATERRAMENTO 5/8  PARA SPDA - FORNECIMENTO E INSTALAÇÃO. AF_12/2017</t>
  </si>
  <si>
    <t>HASTE DE ATERRAMENTO 3/4  PARA SPDA - FORNECIMENTO E INSTALAÇÃO. AF_12/2017</t>
  </si>
  <si>
    <t>PARA RAIOS / TERMINAL AÉREO / MASTRO</t>
  </si>
  <si>
    <t>ELETRODUTO PVC 40MM (1 ¼ ) PARA SPDA - FORNECIMENTO E INSTALAÇÃO. AF_12/2017</t>
  </si>
  <si>
    <t>CAIXA DE INSPEÇÃO PARA ATERRAMENTO, CIRCULAR, EM POLIETILENO, DIÂMETRO INTERNO = 0,3 M. AF_05/2018</t>
  </si>
  <si>
    <t>CAPTOR TIPO FRANKLIN PARA SPDA - FORNECIMENTO E INSTALAÇÃO. AF_12/2017</t>
  </si>
  <si>
    <t>MASTRO 1 ½  PARA SPDA - FORNECIMENTO E INSTALAÇÃO. AF_12/2017</t>
  </si>
  <si>
    <t>TERMINAL AEREO EM ACO GALVANIZADO COM BASE DE FIXACAO H = 30CM</t>
  </si>
  <si>
    <t>SUPORTE ISOLADOR PARA CORDOALHA DE COBRE - FORNECIMENTO E INSTALAÇÃO. AF_12/2017</t>
  </si>
  <si>
    <t>INSTALAÇÕES DE TELEFONIA E LÓGICA</t>
  </si>
  <si>
    <t>QUADRO DE DISTRIBUIÇÃO PARA TELEFONIA</t>
  </si>
  <si>
    <t>QUADRO DE DISTRIBUICAO PARA TELEFONE N.3, 40X40X12CM EM CHAPA METALICA, DE EMBUTIR, SEM ACESSORIOS, PADRAO TELEBRAS, FORNECIMENTO E INSTALACAO</t>
  </si>
  <si>
    <t>QUADRO DE DISTRIBUICAO PARA TELEFONE N.4, 60X60X12CM EM CHAPA METALICA, DE EMBUTIR, SEM ACESSORIOS, PADRAO TELEBRAS, FORNECIMENTO E INSTALACAO</t>
  </si>
  <si>
    <t>TOMADAS PARA TELEFONE E LÓGICA</t>
  </si>
  <si>
    <t>TOMADA PARA TELEFONE DE 4 POLOS PADRAO TELEBRAS - FORNECIMENTO E INSTALACAO</t>
  </si>
  <si>
    <t>TOMADA DE REDE RJ45 - FORNECIMENTO E INSTALAÇÃO. AF_03/2018</t>
  </si>
  <si>
    <t>INSTALACOES DE PREVENCAO CONTRA INCENDIOS</t>
  </si>
  <si>
    <t>ABRIGOS PARA HIDRANTES</t>
  </si>
  <si>
    <t>ABRIGO PARA HIDRANTE, 75X45X17CM, COM REGISTRO GLOBO ANGULAR 45º 2.1/2", ADAPTADOR STORZ 2.1/2", MANGUEIRA DE INCÊNDIO 15M, REDUÇÃO 2.1/2X1.1/2" E ESGUICHO EM LATÃO 1.1/2" - FORNECIMENTO E INSTALAÇÃO</t>
  </si>
  <si>
    <t>HIDRANTE SUBTERRÂNEO</t>
  </si>
  <si>
    <t>HIDRANTE SUBTERRANEO FERRO FUNDIDO C/ CURVA LONGA E CAIXA DN=75MM</t>
  </si>
  <si>
    <t>REDE DE ALIMENTAÇÃO PARA HIDRANTES</t>
  </si>
  <si>
    <t>TUBO DE AÇO GALVANIZADO COM COSTURA, CLASSE MÉDIA, DN 65 (2 1/2"), CONEXÃO ROSQUEADA, INSTALADO EM REDE DE ALIMENTAÇÃO PARA HIDRANTE - FORNECIMENTO E INSTALAÇÃO. AF_12/2015</t>
  </si>
  <si>
    <t>TÊ, EM FERRO GALVANIZADO, CONEXÃO ROSQUEADA, DN 65 (2 1/2"), INSTALADO EM REDE DE ALIMENTAÇÃO PARA HIDRANTE - FORNECIMENTO E INSTALAÇÃO. AF_12/2015</t>
  </si>
  <si>
    <t>CONEXÕES DE AÇO GALVANIZADO</t>
  </si>
  <si>
    <t>CURVA 90 GRAUS, EM AÇO, CONEXÃO SOLDADA, DN 65 (2 1/2), INSTALADO EM PRUMADAS - FORNECIMENTO E INSTALAÇÃO. AF_12/2015</t>
  </si>
  <si>
    <t>EXTINTORES</t>
  </si>
  <si>
    <t>EXTINTOR INCENDIO TP PO QUIMICO 6KG - FORNECIMENTO E INSTALACAO</t>
  </si>
  <si>
    <t>INSTALAÇÕES HIDROSSANITÁRIAS</t>
  </si>
  <si>
    <t>INSTALAÇÃO DE VÁLVULAS OU REGISTROS</t>
  </si>
  <si>
    <t>INSTALACAO DE BOMBAS, COMPRESSORES E MISTURADORES</t>
  </si>
  <si>
    <t>73834/1</t>
  </si>
  <si>
    <t>INSTALACAO DE CONJ.MOTO BOMBA SUBMERSIVEL ATE 10 CV</t>
  </si>
  <si>
    <t>ENTRADA DE ÁGUA</t>
  </si>
  <si>
    <t>RESERVATÓRIOS E COMPLEMENTOS</t>
  </si>
  <si>
    <t>TUBOS E CONEXÕES PARA RESERVATÓRIOS</t>
  </si>
  <si>
    <t>ADAPTADOR CURTO COM BOLSA E ROSCA PARA REGISTRO, PVC, SOLDÁVEL, DN  25 MM X 3/4 , INSTALADO EM RESERVAÇÃO DE ÁGUA DE EDIFICAÇÃO QUE POSSUA RESERVATÓRIO DE FIBRA/FIBROCIMENTO   FORNECIMENTO E INSTALAÇÃO. AF_06/2016</t>
  </si>
  <si>
    <t>ADAPTADOR CURTO COM BOLSA E ROSCA PARA REGISTRO, PVC, SOLDÁVEL, DN 75 MM X 2 1/2 , INSTALADO EM RESERVAÇÃO DE ÁGUA DE EDIFICAÇÃO QUE POSSUA RESERVATÓRIO DE FIBRA/FIBROCIMENTO   FORNECIMENTO E INSTALAÇÃO. AF_06/2016</t>
  </si>
  <si>
    <t>ADAPTADOR CURTO COM BOLSA E ROSCA PARA REGISTRO, PVC, SOLDÁVEL, DN 85 MM X 3 , INSTALADO EM RESERVAÇÃO DE ÁGUA DE EDIFICAÇÃO QUE POSSUA RESERVATÓRIO DE FIBRA/FIBROCIMENTO   FORNECIMENTO E INSTALAÇÃO. AF_06/2016</t>
  </si>
  <si>
    <t>TÊ DE REDUÇÃO, PVC, SOLDÁVEL, DN 32 MM X  25 MM, INSTALADO EM RESERVAÇÃO DE ÁGUA DE EDIFICAÇÃO QUE POSSUA RESERVATÓRIO DE FIBRA/FIBROCIMENTO   FORNECIMENTO E INSTALAÇÃO. AF_06/2016</t>
  </si>
  <si>
    <t>TÊ DE REDUÇÃO, PVC, SOLDÁVEL, DN 75 MM X 50 MM, INSTALADO EM RESERVAÇÃO DE ÁGUA DE EDIFICAÇÃO QUE POSSUA RESERVATÓRIO DE FIBRA/FIBROCIMENTO   FORNECIMENTO E INSTALAÇÃO. AF_06/2016</t>
  </si>
  <si>
    <t>ADAPTADOR COM FLANGES LIVRES, PVC, SOLDÁVEL, DN 40 MM X 1 1/4 , INSTALADO EM RESERVAÇÃO DE ÁGUA DE EDIFICAÇÃO QUE POSSUA RESERVATÓRIO DE FIBRA/FIBROCIMENTO   FORNECIMENTO E INSTALAÇÃO. AF_06/2016</t>
  </si>
  <si>
    <t>ADAPTADOR COM FLANGES LIVRES, PVC, SOLDÁVEL, DN 75 MM X 2 1/2 , INSTALADO EM RESERVAÇÃO DE ÁGUA DE EDIFICAÇÃO QUE POSSUA RESERVATÓRIO DE FIBRA/FIBROCIMENTO   FORNECIMENTO E INSTALAÇÃO. AF_06/2016</t>
  </si>
  <si>
    <t>ADAPTADOR COM FLANGES LIVRES, PVC, SOLDÁVEL, DN 85 MM X 3 , INSTALADO EM RESERVAÇÃO DE ÁGUA DE EDIFICAÇÃO QUE POSSUA RESERVATÓRIO DE FIBRA/FIBROCIMENTO   FORNECIMENTO E INSTALAÇÃO. AF_06/2016</t>
  </si>
  <si>
    <t>TUBOS DE PVC - ÁGUA FRIA</t>
  </si>
  <si>
    <t>TUBO, PVC, SOLDÁVEL, DN 20MM, INSTALADO EM RAMAL DE DISTRIBUIÇÃO DE ÁGUA - FORNECIMENTO E INSTALAÇÃO. AF_12/2014</t>
  </si>
  <si>
    <t>TUBO, PVC, SOLDÁVEL, DN 25MM, INSTALADO EM RAMAL DE DISTRIBUIÇÃO DE ÁGUA - FORNECIMENTO E INSTALAÇÃO. AF_12/2014</t>
  </si>
  <si>
    <t>TUBO, PVC, SOLDÁVEL, DN 32MM, INSTALADO EM RAMAL DE DISTRIBUIÇÃO DE ÁGUA - FORNECIMENTO E INSTALAÇÃO. AF_12/2014</t>
  </si>
  <si>
    <t>TUBO, PVC, SOLDÁVEL, DN 50MM, INSTALADO EM PRUMADA DE ÁGUA - FORNECIMENTO E INSTALAÇÃO. AF_12/2014</t>
  </si>
  <si>
    <t>TUBO, PVC, SOLDÁVEL, DN 75MM, INSTALADO EM PRUMADA DE ÁGUA - FORNECIMENTO E INSTALAÇÃO. AF_12/2014</t>
  </si>
  <si>
    <t>CONEXÕES ÁGUA FRIA - EM RAMAL OU SUB-RAMAL DE ÁGUA</t>
  </si>
  <si>
    <t>JOELHO 90 GRAUS COM BUCHA DE LATÃO, PVC, SOLDÁVEL, DN 25MM, X 3/4 INSTALADO EM RAMAL OU SUB-RAMAL DE ÁGUA - FORNECIMENTO E INSTALAÇÃO. AF_12/2014</t>
  </si>
  <si>
    <t>JOELHO 90 GRAUS COM BUCHA DE LATÃO, PVC, SOLDÁVEL, DN 25MM, X 1/2 INSTALADO EM RAMAL OU SUB-RAMAL DE ÁGUA - FORNECIMENTO E INSTALAÇÃO. AF_12/2014</t>
  </si>
  <si>
    <t>CURVA 90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</si>
  <si>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</si>
  <si>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TÊ DE REDUÇÃO, PVC, SOLDÁVEL, DN 25MM X 20MM, INSTALADO EM RAMAL OU SUB-RAMAL DE ÁGUA - FORNECIMENTO E INSTALAÇÃO. AF_12/2014</t>
  </si>
  <si>
    <t>TÊ DE REDUÇÃO, PVC, SOLDÁVEL, DN 32MM X 25MM, INSTALADO EM RAMAL OU SUB-RAMAL DE ÁGUA - FORNECIMENTO E INSTALAÇÃO. AF_12/2014</t>
  </si>
  <si>
    <t>CONEXÕES ÁGUA FRIA - EM RAMAL DE DISTRIBUIÇÃO</t>
  </si>
  <si>
    <t>ADAPTADOR CURTO COM BOLSA E ROSCA PARA REGISTRO, PVC, SOLDÁVEL, DN 25MM X 3/4, INSTALADO EM RAMAL DE DISTRIBUIÇÃO DE ÁGUA - FORNECIMENTO E INSTALAÇÃO. AF_12/2014</t>
  </si>
  <si>
    <t>UNIÃO, PVC, SOLDÁVEL, DN 25MM, INSTALADO EM RAMAL DE DISTRIBUIÇÃO DE ÁGUA - FORNECIMENTO E INSTALAÇÃO. AF_12/2014</t>
  </si>
  <si>
    <t>UNIÃO, PVC, SOLDÁVEL, DN 32MM, INSTALADO EM RAMAL DE DISTRIBUIÇÃO DE ÁGUA - FORNECIMENTO E INSTALAÇÃO. AF_12/2014</t>
  </si>
  <si>
    <t>TE, PVC, SOLDÁVEL, DN 25MM, INSTALADO EM RAMAL DE DISTRIBUIÇÃO DE ÁGUA - FORNECIMENTO E INSTALAÇÃO. AF_12/2014</t>
  </si>
  <si>
    <t>CONEXÕES ÁGUA FRIA - EM PRUMADA DE ÁGUA</t>
  </si>
  <si>
    <t>ADAPTADOR CURTO COM BOLSA E ROSCA PARA REGISTRO, PVC, SOLDÁVEL, DN 75MM X 2.1/2, INSTALADO EM PRUMADA DE ÁGUA - FORNECIMENTO E INSTALAÇÃO. AF_12/2014</t>
  </si>
  <si>
    <t>ADAPTADOR CURTO COM BOLSA E ROSCA PARA REGISTRO, PVC, SOLDÁVEL, DN 85MM X 3, INSTALADO EM PRUMADA DE ÁGUA - FORNECIMENTO E INSTALAÇÃO. AF_12/2014</t>
  </si>
  <si>
    <t>CURVA 90 GRAUS, PVC, SOLDÁVEL, DN 50MM, INSTALADO EM PRUMADA DE ÁGUA - FORNECIMENTO E INSTALAÇÃO. AF_12/2014</t>
  </si>
  <si>
    <t>TE, PVC, SOLDÁVEL, DN 50MM, INSTALADO EM PRUMADA DE ÁGUA - FORNECIMENTO E INSTALAÇÃO. AF_12/2014</t>
  </si>
  <si>
    <t>TE, PVC, SOLDÁVEL, DN 75MM, INSTALADO EM PRUMADA DE ÁGUA - FORNECIMENTO E INSTALAÇÃO. AF_12/2014</t>
  </si>
  <si>
    <t>TUBOS DE PVC - ESGOTO E AGUAS PLUVIAIS</t>
  </si>
  <si>
    <t>(COMPOSIÇÃO REPRESENTATIVA) DO SERVIÇO DE INSTALAÇÃO DE TUBO DE PVC, SÉRIE NORMAL, ESGOTO PREDIAL, DN 40 MM (INSTALADO EM RAMAL DE DESCARGA OU RAMAL DE ESGOTO SANITÁRIO), INCLUSIVE CONEXÕES, CORTES E FIXAÇÕES, PARA PRÉDIOS. AF_10/2015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</si>
  <si>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</si>
  <si>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</si>
  <si>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>TUBOS DE PVC - ESGOTO E AGUAS PLUVIAIS - SÉRIE R</t>
  </si>
  <si>
    <t>(COMPOSIÇÃO REPRESENTATIVA) DO SERVIÇO DE INSTALAÇÃO DE TUBOS DE PVC, SÉRIE R, ÁGUA PLUVIAL, DN 150 MM (INSTALADO EM CONDUTORES VERTICAIS), INCLUSIVE CONEXÕES, CORTES E FIXAÇÕES, PARA PRÉDIOS. AF_10/2015</t>
  </si>
  <si>
    <t>LIGAÇÃO DE ESGOTO</t>
  </si>
  <si>
    <t>LIGAÇÃO DOMICILIAR DE ESGOTO DN 100MM, DA CASA ATÉ A CAIXA, COMPOSTO POR 10,0M TUBO DE PVC ESGOTO PREDIAL DN 100MM E CAIXA DE ALVENARIA COM TAMPA DE CONCRETO - FORNECIMENTO E INSTALAÇÃO</t>
  </si>
  <si>
    <t>APARELHOS SANITÁRIOS, LOUÇAS, METAIS E OUTROS</t>
  </si>
  <si>
    <t>MANUTENÇÃO / REPAROS - APARELHOS SANITÁRIOS, LOUÇAS, METAIS E OUTROS</t>
  </si>
  <si>
    <t>ENGATE FLEXÍVEL EM PLÁSTICO BRANCO, 1/2" X 30CM - FORNECIMENTO E INSTALAÇÃO. AF_12/2013</t>
  </si>
  <si>
    <t>BANCADAS</t>
  </si>
  <si>
    <t>BANCADA DE GRANITO CINZA POLIDO PARA LAVATÓRIO 0,50 X 0,60 M - FORNECIMENTO E INSTALAÇÃO. AF_12/2013</t>
  </si>
  <si>
    <t>BANCADA DE GRANITO CINZA POLIDO PARA PIA DE COZINHA 1,50 X 0,60 M - FORNECIMENTO E INSTALAÇÃO. AF_12/2013</t>
  </si>
  <si>
    <t>TANQUES</t>
  </si>
  <si>
    <t>TANQUE DE LOUÇA BRANCA COM COLUNA, 30L OU EQUIVALENTE, INCLUSO SIFÃO FLEXÍVEL EM PVC, VÁLVULA METÁLICA E TORNEIRA DE METAL CROMADO PADRÃO MÉDIO - FORNECIMENTO E INSTALAÇÃO. AF_12/2013</t>
  </si>
  <si>
    <t>CUBAS E PIAS</t>
  </si>
  <si>
    <t>CUBA DE EMBUTIR DE AÇO INOXIDÁVEL MÉDIA, INCLUSO VÁLVULA TIPO AMERICANA EM METAL CROMADO E SIFÃO FLEXÍVEL EM PVC - FORNECIMENTO E INSTALAÇÃO. AF_12/2013</t>
  </si>
  <si>
    <t>CUBA DE EMBUTIR OVAL EM LOUÇA BRANCA, 35 X 50CM OU EQUIVALENTE, INCLUSO VÁLVULA EM METAL CROMADO E SIFÃO FLEXÍVEL EM PVC - FORNECIMENTO E INSTALAÇÃO. AF_12/2013</t>
  </si>
  <si>
    <t>LAVÁTORIOS</t>
  </si>
  <si>
    <t>LAVATÓRIO LOUÇA BRANCA SUSPENSO, 29,5 X 39CM OU EQUIVALENTE, PADRÃO POPULAR, INCLUSO SIFÃO TIPO GARRAFA EM PVC, VÁLVULA E ENGATE FLEXÍVEL 30CM EM PLÁSTICO E TORNEIRA CROMADA DE MESA, PADRÃO POPULAR - FORNECIMENTO E INSTALAÇÃO. AF_12/2013</t>
  </si>
  <si>
    <t>TORNEIRAS E MISTURADORES</t>
  </si>
  <si>
    <t>TORNEIRA CROMADA DE MESA, 1/2" OU 3/4", PARA LAVATÓRIO, PADRÃO POPULAR - FORNECIMENTO E INSTALAÇÃO. AF_12/2013</t>
  </si>
  <si>
    <t>TORNEIRA CROMADA LONGA, DE PAREDE, 1/2" OU 3/4", PARA PIA DE COZINHA, PADRÃO POPULAR - FORNECIMENTO E INSTALAÇÃO. AF_12/2013</t>
  </si>
  <si>
    <t>APARELHOS SANITÁRIOS</t>
  </si>
  <si>
    <t>VASO SANITÁRIO SIFONADO COM CAIXA ACOPLADA LOUÇA BRANCA, INCLUSO ENGATE FLEXÍVEL EM PLÁSTICO BRANCO, 1/2  X 40CM - FORNECIMENTO E INSTALAÇÃO. AF_12/2013</t>
  </si>
  <si>
    <t>VASO SANITARIO SIFONADO CONVENCIONAL PARA PCD SEM FURO FRONTAL COM LOUÇA BRANCA SEM ASSENTO, INCLUSO CONJUNTO DE LIGAÇÃO PARA BACIA SANITÁRIA AJUSTÁVEL - FORNECIMENTO E INSTALAÇÃO. AF_10/2016</t>
  </si>
  <si>
    <t>PAPELEIRA DE PAREDE EM METAL CROMADO SEM TAMPA, INCLUSO FIXAÇÃO. AF_10/2016</t>
  </si>
  <si>
    <t>REGISTROS E VÁLVULAS</t>
  </si>
  <si>
    <t>REGISTRO DE GAVETA BRUTO, LATÃO, ROSCÁVEL, 2, INSTALADO EM RESERVAÇÃO DE ÁGUA DE EDIFICAÇÃO QUE POSSUA RESERVATÓRIO DE FIBRA/FIBROCIMENTO  FORNECIMENTO E INSTALAÇÃO. AF_06/2016</t>
  </si>
  <si>
    <t>REGISTRO DE GAVETA BRUTO, LATÃO, ROSCÁVEL, 3, INSTALADO EM RESERVAÇÃO DE ÁGUA DE EDIFICAÇÃO QUE POSSUA RESERVATÓRIO DE FIBRA/FIBROCIMENTO  FORNECIMENTO E INSTALAÇÃO. AF_06/2016</t>
  </si>
  <si>
    <t>REGISTRO DE GAVETA BRUTO, LATÃO, ROSCÁVEL, 3/4", COM ACABAMENTO E CANOPLA CROMADOS. FORNECIDO E INSTALADO EM RAMAL DE ÁGUA. AF_12/2014</t>
  </si>
  <si>
    <t>CAIXAS DE GORDURA</t>
  </si>
  <si>
    <t>CAIXAS DE INSPEÇÃO/PASSAGEM</t>
  </si>
  <si>
    <t>74166/1</t>
  </si>
  <si>
    <t>CAIXA DE INSPEÇÃO EM CONCRETO PRÉ-MOLDADO DN 60CM COM TAMPA H= 60CM - FORNECIMENTO E INSTALACAO</t>
  </si>
  <si>
    <t>CAIXA ENTERRADA HIDRÁULICA RETANGULAR, EM ALVENARIA COM BLOCOS DE CONCRETO, DIMENSÕES INTERNAS: 0,6X0,6X0,6 M PARA REDE DE ESGOTO. AF_05/2018</t>
  </si>
  <si>
    <t>CAIXAS SIFONADAS</t>
  </si>
  <si>
    <t>CAIXA SIFONADA, PVC, DN 150 X 185 X 75 MM, JUNTA ELÁSTICA, FORNECIDA E INSTALADA EM RAMAL DE DESCARGA OU EM RAMAL DE ESGOTO SANITÁRIO. AF_12/2014</t>
  </si>
  <si>
    <t>CAIXAS SECAS</t>
  </si>
  <si>
    <t>REVESTIMENTOS E ISOLAMENTOS DE PAREDES E TETOS</t>
  </si>
  <si>
    <t>CHAPISCO</t>
  </si>
  <si>
    <t>CHAPISCO APLICADO EM ALVENARIA (SEM PRESENÇA DE VÃOS) E ESTRUTURAS DE CONCRETO DE FACHADA, COM ROLO PARA TEXTURA ACRÍLICA.  ARGAMASSA TRAÇO 1:4 E EMULSÃO POLIMÉRICA (ADESIVO) COM PREPARO EM BETONEIRA 400L. AF_06/2014</t>
  </si>
  <si>
    <t>EMBOÇO / MASSA ÚNICA</t>
  </si>
  <si>
    <t>CERAMICAS</t>
  </si>
  <si>
    <t>PISO CERÂMICO</t>
  </si>
  <si>
    <t>PISO DE PEDRA E GRANILITE/MARMORITE</t>
  </si>
  <si>
    <t>PISO EM GRANILITE, MARMORITE OU GRANITINA ESPESSURA 8 MM, INCLUSO JUNTAS DE DILATACAO PLASTICAS</t>
  </si>
  <si>
    <t>PISO EM BLOCO DE CONCRETO</t>
  </si>
  <si>
    <t>EXECUÇÃO DE PÁTIO/ESTACIONAMENTO EM PISO INTERTRAVADO, COM BLOCO RETANGULAR COR NATURAL DE 20 X 10 CM, ESPESSURA 6 CM. AF_12/2015</t>
  </si>
  <si>
    <t>SOLEIRAS E RODAPÉS</t>
  </si>
  <si>
    <t>SOLEIRA EM GRANITO, LARGURA 15 CM, ESPESSURA 2,0 CM. AF_06/2018</t>
  </si>
  <si>
    <t>PINTURAS</t>
  </si>
  <si>
    <t>EMASSAMENTO</t>
  </si>
  <si>
    <t>FUNDO PREPARADOR</t>
  </si>
  <si>
    <t>APLICAÇÃO DE FUNDO SELADOR ACRÍLICO EM PAREDES, UMA DEMÃO. AF_06/2014</t>
  </si>
  <si>
    <t>PINTURA EM MADEIRA</t>
  </si>
  <si>
    <t>PINTURA EM CONCRETO / ALVENARIA / CERÂMICA</t>
  </si>
  <si>
    <t>APLICAÇÃO MANUAL DE PINTURA COM TINTA TEXTURIZADA ACRÍLICA EM SUPERFÍCIES EXTERNAS DE SACADA DE EDIFÍCIOS DE MÚLTIPLOS PAVIMENTOS, UMA COR. AF_06/2014</t>
  </si>
  <si>
    <t>PAVIMENTAÇÃO E CALÇAMENTO</t>
  </si>
  <si>
    <t>REGULARIZAÇÃO</t>
  </si>
  <si>
    <t>EXECUÇÃO E COMPACTAÇÃO DE BASE E OU SUB BASE COM BRITA GRADUADA SIMPLES - EXCLUSIVE CARGA E TRANSPORTE. AF_09/2017</t>
  </si>
  <si>
    <t>MEIO-FIO E SARJETA</t>
  </si>
  <si>
    <t>PAISAGISMO E EQUIPAMENTOS EXTERNOS</t>
  </si>
  <si>
    <t>PLANTIO DE GRAMA SAO CARLOS EM LEIVAS</t>
  </si>
  <si>
    <t>QUANT.</t>
  </si>
  <si>
    <t xml:space="preserve">VALOR R$ </t>
  </si>
  <si>
    <t>VALOR COM BDI R$</t>
  </si>
  <si>
    <t>BDI</t>
  </si>
  <si>
    <t>TERREO</t>
  </si>
  <si>
    <t>1ª PAVIMENTO</t>
  </si>
  <si>
    <t>2ª PAVIMENTO</t>
  </si>
  <si>
    <t>DRYWALL</t>
  </si>
  <si>
    <t>CAIXA DE GORDURA EM PVC, DIAMETRO MINIMO 300 MM, DIAMETRO DE SAIDA 100 MM, CAPACIDADE  APROXIMADA 18 LITROS, COM TAMPA</t>
  </si>
  <si>
    <t>JANELAS</t>
  </si>
  <si>
    <t>ÁREA</t>
  </si>
  <si>
    <t>J1</t>
  </si>
  <si>
    <t>J2</t>
  </si>
  <si>
    <t>01.ESQV.JANE.011/01</t>
  </si>
  <si>
    <t>Esquadrias - Janelas</t>
  </si>
  <si>
    <t>INSUMO</t>
  </si>
  <si>
    <t>601</t>
  </si>
  <si>
    <t>JANELA MAXIM AR EM ALUMINIO, 80 X 60 CM (A X L), BATENTE/REQUADRO DE 4 A 14 CM, COM VIDRO, SEM GUARNICAO/ALIZAR</t>
  </si>
  <si>
    <t>1,0000000</t>
  </si>
  <si>
    <t>4377</t>
  </si>
  <si>
    <t>PARAFUSO DE ACO ZINCADO COM ROSCA SOBERBA, CABECA CHATA E FENDA SIMPLES, DIAMETRO 4,2 MM, COMPRIMENTO * 32 * MM</t>
  </si>
  <si>
    <t>24,4000000</t>
  </si>
  <si>
    <t>39961</t>
  </si>
  <si>
    <t>SILICONE ACETICO USO GERAL INCOLOR 280 G</t>
  </si>
  <si>
    <t>1,2467000</t>
  </si>
  <si>
    <t>COMPOSICAO</t>
  </si>
  <si>
    <t>88309</t>
  </si>
  <si>
    <t>PEDREIRO COM ENCARGOS COMPLEMENTARES</t>
  </si>
  <si>
    <t>H</t>
  </si>
  <si>
    <t>1,7070000</t>
  </si>
  <si>
    <t>88316</t>
  </si>
  <si>
    <t>SERVENTE COM ENCARGOS COMPLEMENTARES</t>
  </si>
  <si>
    <t>0,8530000</t>
  </si>
  <si>
    <t>JANELA FIXA DE ALUMÍNIO PARA VIDRO, COM VIDRO, BATENTE E FERRAGENS. EXCLUSIVE ACABAMENTO, ALIZAR E CONTRAMARCO. FORNECIMENTO E INSTALAÇÃO. AF_12/2019</t>
  </si>
  <si>
    <t>COMPOSIÇÃO</t>
  </si>
  <si>
    <t>VALOR UNITÁRIO</t>
  </si>
  <si>
    <t>VALOR TOTAL</t>
  </si>
  <si>
    <t>J3</t>
  </si>
  <si>
    <t>J4</t>
  </si>
  <si>
    <t>J5</t>
  </si>
  <si>
    <t>J6</t>
  </si>
  <si>
    <t>J7</t>
  </si>
  <si>
    <t>J8</t>
  </si>
  <si>
    <t>VERGA</t>
  </si>
  <si>
    <t>DIMENSÕES</t>
  </si>
  <si>
    <t>01.ESQV.JANE.051/01</t>
  </si>
  <si>
    <t>599</t>
  </si>
  <si>
    <t>JANELA FIXA EM ALUMINIO, 60  X 80 CM (A X L), BATENTE/REQUADRO DE 3 A 14 CM, COM VIDRO, SEM GUARNICAO/ALIZAR</t>
  </si>
  <si>
    <t>17,4130000</t>
  </si>
  <si>
    <t>0,4240000</t>
  </si>
  <si>
    <t>0,7200000</t>
  </si>
  <si>
    <t>0,3600000</t>
  </si>
  <si>
    <t>VIDRO LISO INCOLOR 4MM - SEM COLOCACAO</t>
  </si>
  <si>
    <t>VIDRO TEMPERADO INCOLOR E = 8 MM, SEM COLOCACAO</t>
  </si>
  <si>
    <t>01.ESQV.JANE.012/01</t>
  </si>
  <si>
    <t>9,2000000</t>
  </si>
  <si>
    <t>34362</t>
  </si>
  <si>
    <t>JANELA DE CORRER EM ALUMINIO, 120 X 120 CM (A X L), 2 FLS, SEM BANDEIRA, ACABAMENTO ACET OU BRILHANTE,  BATENTE/REQUADRO DE 6 A 14 CM, COM VIDRO, SEM GUARNICAO/ALIZAR</t>
  </si>
  <si>
    <t>0,6940000</t>
  </si>
  <si>
    <t>0,6233000</t>
  </si>
  <si>
    <t>0,5190000</t>
  </si>
  <si>
    <t>0,2590000</t>
  </si>
  <si>
    <t>JANELA DE ALUMÍNIO TIPO MAXIM-AR, J2, 4 FOLHAS, SENDO UMA FOLHA FIXA,  4,7X0,8 M, COM VIDROS TEMPERADO 8 MM, BATENTE E FERRAGENS. EXCLUSIVE ALIZAR, ACABAMENTO E CONTRAMARCO. FORNECIMENTO E INSTALAÇÃO</t>
  </si>
  <si>
    <t>JANELA DE ALUMÍNIO TIPO MAXIM-AR, J7, 6 FOLHAS, SENDO 3 FOLHAS FIXAS,  3,0X2,08 M, COM VIDRO TEMPERADO 8 MM, BATENTE E FERRAGENS. EXCLUSIVE ALIZAR, ACABAMENTO E CONTRAMARCO. FORNECIMENTO E INSTALAÇÃO</t>
  </si>
  <si>
    <t>JANELA DE ALUMÍNIO TIPO MAXIM-AR, J8, 9 FOLHAS, SENDO 6 FOLHAS FIXAS,  3,0X3,11 M, COM VIDRO TEMPERADO 8 MM, BATENTE E FERRAGENS. EXCLUSIVE ALIZAR, ACABAMENTO E CONTRAMARCO. FORNECIMENTO E INSTALAÇÃO</t>
  </si>
  <si>
    <t>JANELA DE ALUMÍNIO TIPO MAXIM-AR, COM VIDRO TEMPERADO 8 MM, BATENTE E FERRAGENS. EXCLUSIVE ALIZAR, ACABAMENTO E CONTRAMARCO. FORNECIMENTO E INSTALAÇÃO. AF_12/2019</t>
  </si>
  <si>
    <t>JANELA DE ALUMÍNIO DE CORRER COM 2 FOLHAS PARA VIDROS, J6, COM VIDRO TEMPERADO 8 MM, BATENTE, ACABAMENTO COM ACETATO OU BRILHANTE E FERRAGENS. EXCLUSIVE ALIZAR E CONTRAMARCO. FORNECIMENTO E INSTALAÇÃO. AF_12/2019</t>
  </si>
  <si>
    <t>JANELA DE ALUMÍNIO TIPO MAXIM-AR, J1, COM VIDRO TEMPERADO 8 MM, BATENTE E FERRAGENS. EXCLUSIVE ALIZAR, ACABAMENTO E CONTRAMARCO. FORNECIMENTO E INSTALAÇÃO. AF_12/2019</t>
  </si>
  <si>
    <t>JANELA DE ALUMÍNIO TIPO MAXIM-AR, J3, COM VIDRO TEMPERADO 8 MM, BATENTE E FERRAGENS. EXCLUSIVE ALIZAR, ACABAMENTO E CONTRAMARCO. FORNECIMENTO E INSTALAÇÃO. AF_12/2019</t>
  </si>
  <si>
    <t>JANELA DE ALUMÍNIO TIPO MAXIM-AR, J4, COM VIDRO TEMPERADO 8 MM, BATENTE E FERRAGENS. EXCLUSIVE ALIZAR, ACABAMENTO E CONTRAMARCO. FORNECIMENTO E INSTALAÇÃO. AF_12/2019</t>
  </si>
  <si>
    <t>JANELA DE ALUMÍNIO TIPO MAXIM-AR, J5, COM VIDRO TEMPERADO 8 MM, BATENTE E FERRAGENS. EXCLUSIVE ALIZAR, ACABAMENTO E CONTRAMARCO. FORNECIMENTO E INSTALAÇÃO. AF_12/2019</t>
  </si>
  <si>
    <t>JANELA DE ALUMÍNIO TIPO MAXIM-AR, J6, COM VIDRO TEMPERADO 8 MM, BATENTE E FERRAGENS. EXCLUSIVE ALIZAR, ACABAMENTO E CONTRAMARCO. FORNECIMENTO E INSTALAÇÃO. AF_12/2019</t>
  </si>
  <si>
    <t>JANELA FIXA DE ALUMÍNIO PARA VIDRO, COM VIDRO TEMPERADO  8 MM, BATENTE E FERRAGENS, ALIZAR E CONTRAMARCO. FORNECIMENTO E INSTALAÇÃO. AF_12/2019</t>
  </si>
  <si>
    <t>(COMPOSIÇÃO REPRESENTATIVA) DO SERVIÇO DE INSTALAÇÃO DE TUBO DE PVC, SÉRIE NORMAL, ESGOTO PREDIAL, DN 75 MM (INSTALADO EM RAMAL DE DESCARGA OU RAMAL DE ESGOTO SANITÁRIO), INCLUSIVE CONEXÕES, CORTES E FIXAÇÕES PARA, PRÉDIOS. AF_10/2015</t>
  </si>
  <si>
    <t>ATÉ 1,5</t>
  </si>
  <si>
    <t>ACIMA</t>
  </si>
  <si>
    <t>PISO</t>
  </si>
  <si>
    <t>GRANILITE</t>
  </si>
  <si>
    <t>PORCELANATO</t>
  </si>
  <si>
    <t>REVE</t>
  </si>
  <si>
    <t>335</t>
  </si>
  <si>
    <t>ARAME GALVANIZADO 10 BWG, 3,40 MM (0,0713 KG/M)</t>
  </si>
  <si>
    <t>0,0327000</t>
  </si>
  <si>
    <t>39430</t>
  </si>
  <si>
    <t>PENDURAL OU PRESILHA REGULADORA, EM ACO GALVANIZADO, COM CORPO, MOLA E REBITE, PARA PERFIL TIPO CANALETA DE ESTRUTURA EM FORROS DRYWALL</t>
  </si>
  <si>
    <t>1,0183000</t>
  </si>
  <si>
    <t>39443</t>
  </si>
  <si>
    <t>PARAFUSO DRY WALL, EM ACO ZINCADO, CABECA LENTILHA E PONTA BROCA (LB), LARGURA 4,2 MM, COMPRIMENTO 13 MM</t>
  </si>
  <si>
    <t>1,0092000</t>
  </si>
  <si>
    <t>39514</t>
  </si>
  <si>
    <t>PLACA DE FIBRA MINERAL PARA FORRO, DE 625 X 625 MM, E = 15 MM, BORDA RETA, COM PINTURA ANTIMOFO (NAO INCLUI PERFIS)</t>
  </si>
  <si>
    <t>2,7392000</t>
  </si>
  <si>
    <t>39570</t>
  </si>
  <si>
    <t>PERFIL TRAVESSA (SECUNDARIO), T CLICADO, EM ACO GALVANIZADO , BRANCO, PARA FORRO REMOVIVEL, 24 X 1250 MM (L X C)</t>
  </si>
  <si>
    <t>2,9929000</t>
  </si>
  <si>
    <t>39571</t>
  </si>
  <si>
    <t>PERFIL LONGARINA (PRINCIPAL), T CLICADO, EM ACO, BRANCO, PARA FORRO REMOVIVEL, 24 X 3750 MM (L X C)</t>
  </si>
  <si>
    <t>40547</t>
  </si>
  <si>
    <t>PARAFUSO ZINCADO, AUTOBROCANTE, FLANGEADO, 4,2 X 19"</t>
  </si>
  <si>
    <t>CENTO</t>
  </si>
  <si>
    <t>0,0101000</t>
  </si>
  <si>
    <t>88278</t>
  </si>
  <si>
    <t>MONTADOR DE ESTRUTURA METÁLICA COM ENCARGOS COMPLEMENTARES</t>
  </si>
  <si>
    <t>0,5409000</t>
  </si>
  <si>
    <t>FORRO DE FIBRA MINERAL, PARA AMBIENTES COMERCIAIS, INCLUSIVE ESTRUTURA DE FIXAÇÃO.</t>
  </si>
  <si>
    <t>PINTURA</t>
  </si>
  <si>
    <t>LOCAL</t>
  </si>
  <si>
    <t>PERÍMETRO</t>
  </si>
  <si>
    <t>FORRO</t>
  </si>
  <si>
    <t>GRANITINA</t>
  </si>
  <si>
    <t>AZULEJO</t>
  </si>
  <si>
    <t>ALTURA</t>
  </si>
  <si>
    <t>RECEPÇÃO/ATENDIMENTO/ESPERA</t>
  </si>
  <si>
    <t>LAVANDERIA</t>
  </si>
  <si>
    <t>COZINHA</t>
  </si>
  <si>
    <t>CIRCULAÇÃO</t>
  </si>
  <si>
    <t>BANHEIRO PCD</t>
  </si>
  <si>
    <t>BANHEIRO MASCULINO</t>
  </si>
  <si>
    <t>BANHEIRO FEMININO</t>
  </si>
  <si>
    <t>SALA TÉCNICA</t>
  </si>
  <si>
    <t>POÇO ELEVADOR</t>
  </si>
  <si>
    <t>ACESSO</t>
  </si>
  <si>
    <t>CIRCULAÇÃO EXTERNA</t>
  </si>
  <si>
    <t>ESCRITÓRIOS</t>
  </si>
  <si>
    <t>ALMOXARIFADO</t>
  </si>
  <si>
    <t>DML</t>
  </si>
  <si>
    <t>AUDITÓRIO</t>
  </si>
  <si>
    <t>FOYER</t>
  </si>
  <si>
    <t>SALA DE REUNIÕES</t>
  </si>
  <si>
    <t>SEC</t>
  </si>
  <si>
    <t>PROC</t>
  </si>
  <si>
    <t>GABINETE</t>
  </si>
  <si>
    <t>BANHEIRO</t>
  </si>
  <si>
    <t>APOIO LIMPEZA</t>
  </si>
  <si>
    <t>TI</t>
  </si>
  <si>
    <t>REFEITÓRIO</t>
  </si>
  <si>
    <t>ALT. AZULEJO</t>
  </si>
  <si>
    <t xml:space="preserve">APLICAÇÃO MANUAL DE TINTA LÁTEX ACRÍLICA EM PANOS COM PRESENÇA DE VÃOS DE EDIFÍCIOS DE MÚLTIPLOS PAVIMENTOS, DUAS DEMÃOS. </t>
  </si>
  <si>
    <t>Iluminação e Monitoramento</t>
  </si>
  <si>
    <t>3799</t>
  </si>
  <si>
    <t>88247</t>
  </si>
  <si>
    <t>AUXILIAR DE ELETRICISTA COM ENCARGOS COMPLEMENTARES</t>
  </si>
  <si>
    <t>0,1963000</t>
  </si>
  <si>
    <t>88264</t>
  </si>
  <si>
    <t>ELETRICISTA COM ENCARGOS COMPLEMENTARES</t>
  </si>
  <si>
    <t>0,4710000</t>
  </si>
  <si>
    <t>LUMINARIA DE LED SOBREPOR CONFORME MODELO LEDVANCE DAMP PROOF - 36 W</t>
  </si>
  <si>
    <t>LUMINÁRIA DE LED, DE SOBREPOR, CONFORME MODELO DE PROJETO - FORNECIMENTO E INSTALAÇÃO. AF_11/2017</t>
  </si>
  <si>
    <t>caixa 200x200x10</t>
  </si>
  <si>
    <t>TOMADA RERTANGULAR 4X4" - RJ45</t>
  </si>
  <si>
    <t>PLACA DE SINALIZAÇÃO - 15X30 CM - CONFORME PROJETO - FORNECIMENTO E INSTALAÇÃO</t>
  </si>
  <si>
    <t>PLACA DE SINALIZACAO DE SEGURANCA CONTRA INCENDIO, FOTOLUMINESCENTE RETANGULAR, *20 X 40* CM, EM PVC *2* MM ANTI-CHAMAS (SIMBOLOS, CORES E PICTOGRAMAS CONFORME NBR 13434)</t>
  </si>
  <si>
    <t>SINALIZAÇÃO</t>
  </si>
  <si>
    <t>PINTURA ACRILICA PARA SINALIZAÇÃO HORIZONTAL EM PISO CIMENTADO - PINTURA EXTINTOR - 1X1 M (FAIXA EXTERNA)</t>
  </si>
  <si>
    <t>PINTURA DE SINALIZAÇÃO DE SOLO PARA EXTINTOR (1X1 M)</t>
  </si>
  <si>
    <t>EXECUÇÃO E COMPACTAÇÃO DE BASE E OU SUB BASE PARA PAVIMENTAÇÃO DE BRITA GRADUADA SIMPLES - EXCLUSIVE CARGA E TRANSPORTE. AF_11/2019 - PISO TÉRREO</t>
  </si>
  <si>
    <t>PISOS E REVESTIMENTOS</t>
  </si>
  <si>
    <t>SEM CADERNO TÉCNICO ATRIBUÍDO</t>
  </si>
  <si>
    <t>4791</t>
  </si>
  <si>
    <t>ADESIVO ACRILICO/COLA DE CONTATO</t>
  </si>
  <si>
    <t>0,3700000</t>
  </si>
  <si>
    <t>0,1700000</t>
  </si>
  <si>
    <t>MERCADO</t>
  </si>
  <si>
    <t>PISO DIRECIONAL INOX - CONFORME PROJETO</t>
  </si>
  <si>
    <t>PISO ALERTA INOX - CONFORME PROJETO</t>
  </si>
  <si>
    <t>PISO ALERTA DE INOX (1 METRO LINEAR = 100 PECAS - 1 METRO 2 = 400 PEÇAS) PREÇO 102/METRO LINEAR</t>
  </si>
  <si>
    <t>PISO DIRECIONAL DE INOX  (1 METRO LINEAR = 12 PEÇAS - 1 METRO 2 = 48 PEÇAS) PREÇO 102/METRO LINEAR</t>
  </si>
  <si>
    <t>ESCADAS</t>
  </si>
  <si>
    <t>ESPELHO</t>
  </si>
  <si>
    <t>SALAS</t>
  </si>
  <si>
    <t>PISO GRANILITE</t>
  </si>
  <si>
    <t>RODAPÉ</t>
  </si>
  <si>
    <t>PAVER</t>
  </si>
  <si>
    <t>73857/003</t>
  </si>
  <si>
    <t>TRANSFORMADOR DISTRIBUICAO 150KVA TRIFASICO 60HZ CLASSE 15KV IMERSO E M ÓLEO MINERAL FORNECIMENTO E INSTALACAO</t>
  </si>
  <si>
    <t>SUPORTE PARA TRANSFORMADOR EM POSTE DE CONCRETO CIRCULAR</t>
  </si>
  <si>
    <t>CONTRAPISO</t>
  </si>
  <si>
    <t>CONTRAPISO - 1 E 2 PAVIMENTO</t>
  </si>
  <si>
    <t>EXECUÇÃO DE PASSEIO EM PISO INTERTRAVADO, COM BLOCO RETANGULAR COLORIDO DE 20 X 10 CM, ESPESSURA 6 CM. AF_12/2015</t>
  </si>
  <si>
    <t>CORRIMÃO SIMPLES, DIÂMETRO EXTERNO = 1 1/2", EM AÇO GALVANIZADO. AF_04/2019_P</t>
  </si>
  <si>
    <t>GRAMA</t>
  </si>
  <si>
    <t>GRAMA EXTERNA</t>
  </si>
  <si>
    <t>TOTAL GRAMA</t>
  </si>
  <si>
    <t>PAVER COLORIDO</t>
  </si>
  <si>
    <t>ASSENTAMENTO DE GUIA (MEIO-FIO) EM TRECHO RETO, FINCADINHA, CONFECCIONADA EM CONCRETO PRÉ-FABRICADO, PARA URBANIZAÇÃO INTERNA DE EMPREENDIMENTOS. AF_06/2016_P</t>
  </si>
  <si>
    <t>02.INHI.ASLM.015/01</t>
  </si>
  <si>
    <t>Louças e Metais</t>
  </si>
  <si>
    <t>4823</t>
  </si>
  <si>
    <t>MASSA PLASTICA PARA MARMORE/GRANITO</t>
  </si>
  <si>
    <t>7568</t>
  </si>
  <si>
    <t>BUCHA DE NYLON SEM ABA S10, COM PARAFUSO DE 6,10 X 65 MM EM ACO ZINCADO COM ROSCA SOBERBA, CABECA CHATA E FENDA PHILLIPS</t>
  </si>
  <si>
    <t>11795</t>
  </si>
  <si>
    <t>GRANITO PARA BANCADA, POLIDO, TIPO ANDORINHA/ QUARTZ/ CASTELO/ CORUMBA OU OUTROS EQUIVALENTES DA REGIAO, E=  *2,5* CM</t>
  </si>
  <si>
    <t>37329</t>
  </si>
  <si>
    <t>REJUNTE EPOXI BRANCO</t>
  </si>
  <si>
    <t>37590</t>
  </si>
  <si>
    <t>SUPORTE MAO-FRANCESA EM ACO, ABAS IGUAIS 30 CM, CAPACIDADE MINIMA 60 KG, BRANCO</t>
  </si>
  <si>
    <t>88274</t>
  </si>
  <si>
    <t>MARMORISTA/GRANITEIRO COM ENCARGOS COMPLEMENTARES</t>
  </si>
  <si>
    <t>BANCADA DE GRANITO CINZA POLIDO PARA LAVATÓRIO - FORNECIMENTO E INSTALAÇÃO. AF_12/2013</t>
  </si>
  <si>
    <t>PORTA TIPO P1 - CONFORME PROJETO</t>
  </si>
  <si>
    <t>KIT DE PORTA DE MADEIRA PARA VERNIZ, SEMI-OCA (LEVE OU MÉDIA), PADRÃO MÉDIO, 90X210CM, ESPESSURA DE 3,5CM, ITENS INCLUSOS: DOBRADIÇAS, MONTAGEM E INSTALAÇÃO DO BATENTE, SEM FECHADURA - FORNECIMENTO E INSTALAÇÃO</t>
  </si>
  <si>
    <t>UM</t>
  </si>
  <si>
    <t>BARRA ANTIPANICO DUPLA, CEGA LADO OPOSTO, COR CINZA</t>
  </si>
  <si>
    <t>PUXADOR TUBULAR RETO, DUPLO, EM ALUMINIO POLIDO, DIAMETRO APROX.DE 1", COMPRIMENTO APROX. DE 400 MM, PARA PORTAS DE MADEIRA OU VIDRO</t>
  </si>
  <si>
    <t>90806</t>
  </si>
  <si>
    <t>BATENTE PARA PORTA DE MADEIRA, FIXAÇÃO COM ARGAMASSA, PADRÃO MÉDIO - FORNECIMENTO E INSTALAÇÃO. AF_12/2019_P</t>
  </si>
  <si>
    <t>100659</t>
  </si>
  <si>
    <t>ALIZAR DE 5X1,5CM PARA PORTA FIXADO COM PREGOS, PADRÃO MÉDIO - FORNECIMENTO E INSTALAÇÃO. AF_12/2019</t>
  </si>
  <si>
    <t>2432</t>
  </si>
  <si>
    <t>DOBRADICA EM ACO/FERRO, 3 1/2" X  3", E= 1,9  A 2 MM, COM ANEL,  CROMADO OU ZINCADO, TAMPA BOLA, COM PARAFUSOS</t>
  </si>
  <si>
    <t>11055</t>
  </si>
  <si>
    <t>PARAFUSO ROSCA SOBERBA ZINCADO CABECA CHATA FENDA SIMPLES 3,5 X 25 MM (1 ")</t>
  </si>
  <si>
    <t>88261</t>
  </si>
  <si>
    <t>CARPINTEIRO DE ESQUADRIA COM ENCARGOS COMPLEMENTARES</t>
  </si>
  <si>
    <t>PORTA DE MADEIRA-DE-LEI TIPO MEXICANA SEM EMENDA (ANGELIM OU EQUIVALENTE REGIONAL), E = *3,5* CM</t>
  </si>
  <si>
    <t>PORTA TIPO P2 - COM BARRA ANTIPANICO DUPLA</t>
  </si>
  <si>
    <t>PORTA TIPO P2 - SEM BARRA ANITPANICO</t>
  </si>
  <si>
    <t>PORTA TIPO P2 - CONFORME PROJETO - COM BARRA ANTIPANICO</t>
  </si>
  <si>
    <t>PORTA TIPO P2 - CONFORME PROJETO - SEM BARRA ANTIPANICO</t>
  </si>
  <si>
    <t>CONJUNTO HIDRÁULICO PARA INSTALAÇÃO DE BOMBA EM AÇO ROSCÁVEL, DN SUCÇÃO 32 (1 1/4) E DN RECALQUE 25 (1), PARA EDIFICAÇÃO ATÉ 4 PAVIMENTOS</t>
  </si>
  <si>
    <t>KIT CAVALETE PARA MEDIÇÃO DE ÁGUA - ENTRADA PRINCIPAL, EM PVC SOLDÁVEL DN 32 (1 1/4")   FORNECIMENTO E INSTALAÇÃO (EXCLUSIVE HIDRÔMETRO). AF_11/2016</t>
  </si>
  <si>
    <t>AMERICANAS</t>
  </si>
  <si>
    <t>MADEIRA</t>
  </si>
  <si>
    <t>MERCADO LIVRE</t>
  </si>
  <si>
    <t>MÉDIA</t>
  </si>
  <si>
    <t>NÃO AFERIDA</t>
  </si>
  <si>
    <t>67</t>
  </si>
  <si>
    <t>ADAPTADOR PVC ROSCAVEL, COM FLANGES E ANEL DE VEDACAO, 1/2", PARA CAIXA D' AGUA</t>
  </si>
  <si>
    <t>68</t>
  </si>
  <si>
    <t>ADAPTADOR PVC SOLDAVEL, COM FLANGES LIVRES, 32 MM X 1", PARA CAIXA D' AGUA</t>
  </si>
  <si>
    <t>2,0000000</t>
  </si>
  <si>
    <t>87</t>
  </si>
  <si>
    <t>ADAPTADOR PVC SOLDAVEL, LONGO, COM FLANGE LIVRE,  25 MM X 3/4", PARA CAIXA D' AGUA</t>
  </si>
  <si>
    <t>119</t>
  </si>
  <si>
    <t>ADESIVO PLASTICO PARA PVC, BISNAGA COM 75 GR</t>
  </si>
  <si>
    <t>0,4000000</t>
  </si>
  <si>
    <t>3146</t>
  </si>
  <si>
    <t>FITA VEDA ROSCA EM ROLOS DE 18 MM X 10 M (L X C)</t>
  </si>
  <si>
    <t>0,3000000</t>
  </si>
  <si>
    <t>3536</t>
  </si>
  <si>
    <t>JOELHO PVC, SOLDAVEL, 90 GRAUS, 32 MM, PARA AGUA FRIA PREDIAL</t>
  </si>
  <si>
    <t>7140</t>
  </si>
  <si>
    <t>TE SOLDAVEL, PVC, 90 GRAUS, 32 MM, PARA AGUA FRIA PREDIAL (NBR 5648)</t>
  </si>
  <si>
    <t>9868</t>
  </si>
  <si>
    <t>TUBO PVC, SOLDAVEL, DN 25 MM, AGUA FRIA (NBR-5648)</t>
  </si>
  <si>
    <t>1,5000000</t>
  </si>
  <si>
    <t>9869</t>
  </si>
  <si>
    <t>TUBO PVC, SOLDAVEL, DN 32 MM, AGUA FRIA (NBR-5648)</t>
  </si>
  <si>
    <t>11675</t>
  </si>
  <si>
    <t>REGISTRO DE ESFERA, PVC, COM VOLANTE, VS, SOLDAVEL, DN 32 MM, COM CORPO DIVIDIDO</t>
  </si>
  <si>
    <t>11829</t>
  </si>
  <si>
    <t>TORNEIRA DE BOIA CONVENCIONAL PARA CAIXA D'AGUA, 1/2", COM HASTE E TORNEIRA METALICOS E BALAO PLASTICO</t>
  </si>
  <si>
    <t>34636</t>
  </si>
  <si>
    <t>CAIXA D'AGUA EM POLIETILENO 1000 LITROS, COM TAMPA</t>
  </si>
  <si>
    <t>88248</t>
  </si>
  <si>
    <t>AUXILIAR DE ENCANADOR OU BOMBEIRO HIDRÁULICO COM ENCARGOS COMPLEMENTARES</t>
  </si>
  <si>
    <t>7,7000000</t>
  </si>
  <si>
    <t>88267</t>
  </si>
  <si>
    <t>ENCANADOR OU BOMBEIRO HIDRÁULICO COM ENCARGOS COMPLEMENTARES</t>
  </si>
  <si>
    <t>CAIXA D´ÁGUA EM POLIETILENO, 10000 LITROS, COM ACESSÓRIOS</t>
  </si>
  <si>
    <t>CAIXA D´AGUA EM POLIETILENO, 10000 LITROS, COM ACESSÓRIOS</t>
  </si>
  <si>
    <t>Divisórias</t>
  </si>
  <si>
    <t>Comprimento</t>
  </si>
  <si>
    <t>Altura</t>
  </si>
  <si>
    <t>1380</t>
  </si>
  <si>
    <t>CIMENTO BRANCO</t>
  </si>
  <si>
    <t>0,7000000</t>
  </si>
  <si>
    <t>4,8000000</t>
  </si>
  <si>
    <t>2,3000000</t>
  </si>
  <si>
    <t>88631</t>
  </si>
  <si>
    <t>ARGAMASSA TRAÇO 1:4 (EM VOLUME DE CIMENTO E AREIA MÉDIA ÚMIDA), PREPARO MANUAL. AF_08/2019</t>
  </si>
  <si>
    <t>0,0033000</t>
  </si>
  <si>
    <t>DIVISORIA EM GRANITO, COM DUAS FACES POLIDAS, TIPO ANDORINHA/ QUARTZ/ CASTELO/CORUMBA OU OUTROS EQUIVALENTES DA REGIAO, E= *3,0* CM</t>
  </si>
  <si>
    <t>GRANITO</t>
  </si>
  <si>
    <t>142</t>
  </si>
  <si>
    <t>SELANTE ELASTICO MONOCOMPONENTE A BASE DE POLIURETANO (PU) PARA JUNTAS DIVERSAS</t>
  </si>
  <si>
    <t>310ML</t>
  </si>
  <si>
    <t>4430</t>
  </si>
  <si>
    <t>CAIBRO DE MADEIRA NAO APARELHADA *5 X 6* CM, MACARANDUBA, ANGELIM OU EQUIVALENTE DA REGIAO</t>
  </si>
  <si>
    <t>5067</t>
  </si>
  <si>
    <t>PREGO DE ACO POLIDO COM CABECA 16 X 24 (2 1/4 X 12)</t>
  </si>
  <si>
    <t>0,0369625</t>
  </si>
  <si>
    <t>20017</t>
  </si>
  <si>
    <t>GUARNICAO/ ALIZAR/ VISTA MACICA, E= *1* CM, L= *4,5* CM, EM CEDRINHO/ ANGELIM COMERCIAL/  EUCALIPTO/ CURUPIXA/ PEROBA/ CUMARU OU EQUIVALENTE DA REGIAO</t>
  </si>
  <si>
    <t>1,7330000</t>
  </si>
  <si>
    <t>0,8665000</t>
  </si>
  <si>
    <t>PORTA DE MADEIRA QUADRICULADA PARA VIDRO, DE CORRER (EUCALIPTO OU EQUIVALENTE REGIONAL), E = *3,5* CM</t>
  </si>
  <si>
    <t>PORTA DE MADEIRA - P5 (CEDRINHO/ANGELIM OU EQUIV.) DE CORRER COM 2 FOLHAS, COM BATENTE, ALIZAR E FERRAGENS. ACABAMENTO E CONTRAMARCO. FORNECIMENTO E INSTALAÇÃO. AF_12/2019</t>
  </si>
  <si>
    <t>PORTA DE MADEIRA - P6 (CEDRINHO/ANGELIM OU EQUIV.) DE ABRIR COM 2 FOLHAS, COM BATENTE, ALIZAR E FERRAGENS. ACABAMENTO E CONTRAMARCO. FORNECIMENTO E INSTALAÇÃO. AF_12/2019</t>
  </si>
  <si>
    <t>PORTA DE MADEIRA - P7 (CEDRINHO/ANGELIM OU EQUIV.) DE ABRIR COM 2 FOLHAS, COM BATENTE, ALIZAR E FERRAGENS, SENDO 1 FOLHA DE CORRER E OUTRA FIXA. ACABAMENTO E CONTRAMARCO. FORNECIMENTO E INSTALAÇÃO. AF_12/2019</t>
  </si>
  <si>
    <t>88325</t>
  </si>
  <si>
    <t>VIDRACEIRO COM ENCARGOS COMPLEMENTARES</t>
  </si>
  <si>
    <t>DOBRADIÇA EM AÇO/FERRO, 3" X 21/2", E=1,9 A 2MM, SEN ANEL, CROMADO OU ZINCADO, TAMPA BOLA, COM PARAFUSOS. AF_12/2019</t>
  </si>
  <si>
    <t>VIDRO TEMPERADO VERDE E = 8 MM, SEM COLOCACAO</t>
  </si>
  <si>
    <t>PORTA DE VIDRO TEMPERADO, 0,6X1,8M, ESPESSURA 8MM, INCLUSIVE ACESSORIOS</t>
  </si>
  <si>
    <t>composição</t>
  </si>
  <si>
    <t>LIMPEZA FINAL DE OBRA</t>
  </si>
  <si>
    <t>ACIDO MURIATICO, DILUICAO 10% A 12% PARA USO EM LIMPEZA</t>
  </si>
  <si>
    <t>L</t>
  </si>
  <si>
    <t>ASSENTAMENTO DE POSTE DE CONCRETO COM COMPRIMENTO NOMINAL DE 9 M, CARGA NOMINAL MENOR OU IGUAL A 1000 DAN, ENGASTAMENTO SIMPLES COM 1,5 M DE SOLO (NÃO INCLUI FORNECIMENTO). AF_11/2019</t>
  </si>
  <si>
    <t>POSTE DE CONCRETO DUPLO T ,TIPO B, 500 KG, H = 9 M (NBR 8451)</t>
  </si>
  <si>
    <t>PINTURA VERNIZ POLIURETANO BRILHANTE EM MADEIRA, TRES DEMAOS</t>
  </si>
  <si>
    <t>DISJUNTOR TIPO DIN/IEC, MONOPOLAR DE 63 A</t>
  </si>
  <si>
    <t>DISJUNTOR MONOPOLAR TIPO DIN, CORRENTE NOMINAL DE 63A - FORNECIMENTO E INSTALAÇÃO. AF_04/2016</t>
  </si>
  <si>
    <t>DISJUNTOR TIPO NEMA, MONOPOLAR DE 60 ATE 70A, TENSAO MAXIMA DE 240 V</t>
  </si>
  <si>
    <t>DISJUNTOR MONOPOLAR TIPO DIN, CORRENTE NOMINAL DE 80A - FORNECIMENTO E INSTALAÇÃO. AF_04/2016</t>
  </si>
  <si>
    <t>DISPOSITIVO DR, 4 POLOS, SENSIBILIDADE DE 30 MA, CORRENTE DE 100 A, TIPO AC</t>
  </si>
  <si>
    <t>INTERRUPTOR TETRAPOLAR DR (3 FASES/NEUTRO - 30MA) - DIN 100 A - FORNECIMENTO E INSTALAÇÃO</t>
  </si>
  <si>
    <t>CORDOALHA DE COBRE NU 35 MM², COM ISOLADOR - FORNECIMENTO E INSTALAÇÃO. AF_12/2017</t>
  </si>
  <si>
    <t>CORDOALHA DE COBRE NU 50 MM², COM ISOLADOR - FORNECIMENTO E INSTALAÇÃO. AF_12/2017</t>
  </si>
  <si>
    <t>ENTRADA DE ENERGIA TRIFÁSICA</t>
  </si>
  <si>
    <t>CABECOTE PARA ENTRADA DE LINHA DE ALIMENTACAO PARA ELETRODUTO, EM LIGA DE ALUMINIO COM ACABAMENTO ANTI CORROSIVO, COM FIXACAO POR ENCAIXE LISO DE 360 GRAUS, DE 2 1/2"</t>
  </si>
  <si>
    <t>CINTA CIRCULAR EM ACO GALVANIZADO DE 210 MM DE DIAMETRO PARA INSTALACAO DE TRANSFORMADOR EM POSTE DE CONCRETO</t>
  </si>
  <si>
    <t>HASTE DE ATERRAMENTO 3/4 PARA SPDA - FORNECIMENTO E INSTALAÇÃO.</t>
  </si>
  <si>
    <t>ISOLADOR DE PORCELANA, TIPO BUCHA, PARA TENSAO DE *35* KV</t>
  </si>
  <si>
    <t>73131/7</t>
  </si>
  <si>
    <t>CAIXA DE DERIVACAO PARA MEDIDOR DE ENERGIA, COM BARRAMENTO POLIFASICO, EM POLICARBONATO / TERMOPLASTICO - MODULO (PADRAO CONCESSIONARIA LOCAL)</t>
  </si>
  <si>
    <t>ENTRADA DE ENERGIA - INFRAESTRUTURA - EXCLUSIVE CABEAMENTO E POSTE</t>
  </si>
  <si>
    <t>Instalações Elétricas - parte 1</t>
  </si>
  <si>
    <t>91950</t>
  </si>
  <si>
    <t>SUPORTE PARAFUSADO COM PLACA DE ENCAIXE 4" X 4" MÉDIO (1,30 M DO PISO) PARA PONTO ELÉTRICO - FORNECIMENTO E INSTALAÇÃO. AF_12/2015</t>
  </si>
  <si>
    <t>TOMADA RETANGULAR 4" X 4" - RJ45</t>
  </si>
  <si>
    <t>ALTERAR PARA PLACAS DE GESSO (MAIS EM CONTA)</t>
  </si>
  <si>
    <t>ALTERAR PARA BLOCO CERÂMICO MAIS BARATO</t>
  </si>
  <si>
    <t>Para contenção do paver</t>
  </si>
  <si>
    <t>BARRA DE APOIO - 90 CM</t>
  </si>
  <si>
    <t>BARRA DE APOIO RETA, EM ACO INOX POLIDO, COMPRIMENTO 90 CM, DIAMETRO MINIMO 3 CM</t>
  </si>
  <si>
    <t>FIXAÇÃO UTILIZANDO PARAFUSO E BUCHA DE NYLON, SOMENTE MÃO DE OBRA.</t>
  </si>
  <si>
    <t>ACESSÓRIOS</t>
  </si>
  <si>
    <t>FIXAÇÃO (ENCUNHAMENTO) DE ALVENARIA DE VEDAÇÃO COM ARGAMASSA APLICADA COM BISNAGA.</t>
  </si>
  <si>
    <t>73937/003</t>
  </si>
  <si>
    <t>COBOGO DE CONCRETO (ELEMENTO VAZADO), 7X50X50CM, ASSENTADO COM ARGAMASSA TRACO 1:3 (CIMENTO E AREIA)</t>
  </si>
  <si>
    <t>COBOGÓ E BLOCO DE VIDRO</t>
  </si>
  <si>
    <t>BLOCOS DE VIDRO TIPO XADREZ 20X20X10CM, ASSENTADO COM ARGAMASSA TRACO 1:3 (CIMENTO E AREIA GROSSA) PREPARO MECANICO, COM REJUNTAMENTO EM CIMENTO BRANCO E BARRAS DE ACO</t>
  </si>
  <si>
    <t>REVESTIMENTO CERÂMICO PARA PISO COM PLACAS TIPO PORCELANATO DE DIMENSÕES 60X60 CM APLICADA EM AMBIENTES DE ÁREA MAIOR QUE 10 M². AF_06/2014</t>
  </si>
  <si>
    <t>73774/1</t>
  </si>
  <si>
    <t>APLICAÇÃO MANUAL DE PINTURA COM TINTA LÁTEX ACRÍLICA EM TETO, DUAS DEMÃOS. AF_06/2014</t>
  </si>
  <si>
    <t>APLICAÇÃO DE FUNDO SELADOR ACRÍLICO EM TETO, UMA DEMÃO. AF_06/2014</t>
  </si>
  <si>
    <t>EMBOÇO, PARA RECEBIMENTO DE CERÂMICA, EM ARGAMASSA TRAÇO 1:2:8, PREPARO MECÂNICO COM BETONEIRA 400L, APLICADO MANUALMENTE EM FACES INTERNAS DE PAREDES, PARA AMBIENTE COM ÁREA MAIOR QUE 10M2, ESPESSURA DE 10MM, COM EXECUÇÃO DE TALISCAS. AF_06/2014</t>
  </si>
  <si>
    <t>JANELA</t>
  </si>
  <si>
    <t>PORTA</t>
  </si>
  <si>
    <t>CAIXA SIFONADA, PVC, DN 100 X 100 X 50 MM, JUNTA ELÁSTICA, FORNECIDA E INSTALADA EM RAMAL DE DESCARGA OU EM RAMAL DE ESGOTO SANITÁRIO</t>
  </si>
  <si>
    <t>EXECUÇÃO DE PISO DE CONCRETO COM CONCRETO MOLDADO IN LOCO, USINADO, ACABAMENTO CONVENCIONAL, ESPESSURA 10 CM, ARMADO. AF_07/2016</t>
  </si>
  <si>
    <t>(COMPOSIÇÃO REPRESENTATIVA) DO SERVIÇO DE CONTRAPISO EM ARGAMASSA TRAÇO 1:4 (CIM E AREIA), EM BETONEIRA 400 L, ESPESSURA 3 CM ÁREAS SECAS E 3 CM ÁREAS MOLHADAS, PARA EDIFICAÇÃO HABITACIONAL MULTIFAMILIAR (PRÉDIO). AF_11/2014</t>
  </si>
  <si>
    <t>CAIXA D'AGUA 10.000 LITROS</t>
  </si>
  <si>
    <t>Site</t>
  </si>
  <si>
    <t>https://www.americanas.com.br/produto/54542056/tanque-fortlev-10000l?pfm_carac=Caixa%20d%27%C3%A1gua&amp;pfm_index=1&amp;pfm_page=category&amp;pfm_pos=grid&amp;pfm_type=vit_product_grid</t>
  </si>
  <si>
    <t>https://www.madeiramadeira.com.br/tanque-fortlev-10000l-1635315.html</t>
  </si>
  <si>
    <t>https://produto.mercadolivre.com.br/MLB-1336178751-caixa-dagua-tampa-rosca-fortlev-10000-lts-encomenda-_JM?matt_tool=82322591&amp;matt_word&amp;gclid=CjwKCAiA1rPyBRAREiwA1UIy8BX55ZpnKQ8ZcJfVwIgYrLnACkvSA7TGxmCxpQxGXSVr-9YoCyassBoCsesQAvD_BwE&amp;quantity=1</t>
  </si>
  <si>
    <t>* Material comumente encontrado no mercado.</t>
  </si>
  <si>
    <t>Estado do Paraná</t>
  </si>
  <si>
    <t>MUNICÍPIO:</t>
  </si>
  <si>
    <t>39</t>
  </si>
  <si>
    <t>PROJETO:</t>
  </si>
  <si>
    <t>ÚNICO</t>
  </si>
  <si>
    <t>LOCAL:</t>
  </si>
  <si>
    <t xml:space="preserve"> </t>
  </si>
  <si>
    <t xml:space="preserve">   PREFEITURA MUNICIPAL DE CONTENDA</t>
  </si>
  <si>
    <t>FONTE:</t>
  </si>
  <si>
    <t>REF 12/2019</t>
  </si>
  <si>
    <t>CONTENDA</t>
  </si>
  <si>
    <t xml:space="preserve">AV. JOÃO FRANCO, Nº 400, NO CENTRO DO MUNICÍPIO DE CONTENDA/PR. </t>
  </si>
  <si>
    <t>CNPJ 76.105.519/0001-04 -  AV. JOÃO FRANCO, Nº 400, Cep: 83730-000, NO CENTRO DO MUNICÍPIO DE CONTENDA/PR</t>
  </si>
  <si>
    <t>Orçamento recebido</t>
  </si>
  <si>
    <t>APLICAÇÃO E LIXAMENTO DE MASSA LÁTEX EM PAREDES, UMA DEMÃO. AF_06/2014</t>
  </si>
  <si>
    <t>ECOM. 10K</t>
  </si>
  <si>
    <t>REVESTIMENTO CERÂMICO PARA PAREDE, 10 X 20 CM, BRILHANTE, ELIANE OU SIMILAR, LINHA METRÔ WHITE, APLICADO COM ARGAMASSA INDUSTRIALIZADA AC-II, REJUNTADO, EXCLUSIVE REGULARIZAÇÃO DE BASE OU EMBOÇO</t>
  </si>
  <si>
    <t>12443/ORSE</t>
  </si>
  <si>
    <t>ALTERADO P/ ELIANE, CORRIG. QTD</t>
  </si>
  <si>
    <t>ECONOM. 3K</t>
  </si>
  <si>
    <t>MASSA ÚNICA, PARA RECEBIMENTO DE PINTURA, EM ARGAMASSA TRAÇO 1:2:8, PREPARO MECÂNICO COM BETONEIRA 400L, APLICADA MANUALMENTE EM FACES INTERNAS DE PAREDES, ESPESSURA DE 10MM, COM EXECUÇÃO DE TALISCAS. AF_06/2014</t>
  </si>
  <si>
    <t>ALTERADO 89048 P/ MASSA UNICA</t>
  </si>
  <si>
    <t>ECONOM. 20K</t>
  </si>
  <si>
    <t>*ORÇ. DA CERÂM. NÃO CONSIDERA TODAS AS FACES, SOMENTE AS DE PROJETO. QUANTIDADE INDICADA NA PLANILHA</t>
  </si>
  <si>
    <t>NÃO INCLUSO</t>
  </si>
  <si>
    <t>ELIMINADO ISOLAMENTO COM LA DE ROCHA ECON. 9K</t>
  </si>
  <si>
    <t>PAREDE COM PLACAS DE GESSO ACARTONADO (DRYWALL), PARA USO INTERNO, COM DUAS FACES SIMPLES E ESTRUTURA METÁLICA COM GUIAS SIMPLES, SEM VÃOS. AF_06/2017_P</t>
  </si>
  <si>
    <t>ALTERADO GUIA SIMPLES ECONOM. 8K</t>
  </si>
  <si>
    <t xml:space="preserve">     MUNICÍPIO DE CONTENDA/PR</t>
  </si>
  <si>
    <t xml:space="preserve">EMPREENDIMENTO: NOVO PAÇO MUNICIPAL </t>
  </si>
  <si>
    <t>DADOS BASE: JAN/20</t>
  </si>
  <si>
    <t>ITEM</t>
  </si>
  <si>
    <t>DESCRIÇÃO</t>
  </si>
  <si>
    <t>UNID.</t>
  </si>
  <si>
    <t>Empresa:</t>
  </si>
  <si>
    <t>Granitinas Curitiba</t>
  </si>
  <si>
    <t>Granitina Medeiros</t>
  </si>
  <si>
    <t>CUSTO TOTAL:</t>
  </si>
  <si>
    <t>Dados das cotações:</t>
  </si>
  <si>
    <t>Nome:</t>
  </si>
  <si>
    <t>CNPJ:</t>
  </si>
  <si>
    <t>Contato:</t>
  </si>
  <si>
    <t>Telefone:</t>
  </si>
  <si>
    <t>Data:</t>
  </si>
  <si>
    <t>Empresa 1:</t>
  </si>
  <si>
    <t>23.541.913/0001-10</t>
  </si>
  <si>
    <t>Everton</t>
  </si>
  <si>
    <t>(41) 98868-2706</t>
  </si>
  <si>
    <t>Empresa 2:</t>
  </si>
  <si>
    <t>Empresa 3:</t>
  </si>
  <si>
    <t>20.915.561/0001-28</t>
  </si>
  <si>
    <t>Fabio</t>
  </si>
  <si>
    <t>(41) 99691-0447</t>
  </si>
  <si>
    <t>________________________</t>
  </si>
  <si>
    <t>Larry Hugo Sanches</t>
  </si>
  <si>
    <t>Arquiteto e Urbanista</t>
  </si>
  <si>
    <t>CAU nº A146515-5</t>
  </si>
  <si>
    <t xml:space="preserve">COMPOSIÇÃO ORÇAMENTÁRIA </t>
  </si>
  <si>
    <t>DADOS BASE: FEVEREIRO/2020</t>
  </si>
  <si>
    <t>EMPRESA</t>
  </si>
  <si>
    <t>Média</t>
  </si>
  <si>
    <t xml:space="preserve">LILLO </t>
  </si>
  <si>
    <t>MILANO</t>
  </si>
  <si>
    <t>VILLARTA</t>
  </si>
  <si>
    <r>
      <t>FABRICAÇÃO, TRANSPORTE E INSTALAÇÃO DE</t>
    </r>
    <r>
      <rPr>
        <b/>
        <sz val="10"/>
        <color rgb="FF000000"/>
        <rFont val="Arial"/>
        <family val="2"/>
      </rPr>
      <t xml:space="preserve"> </t>
    </r>
    <r>
      <rPr>
        <b/>
        <u/>
        <sz val="10"/>
        <color rgb="FF000000"/>
        <rFont val="Arial"/>
        <family val="2"/>
      </rPr>
      <t>ELEVADOR SEM CASA DE MÁQUINAS  APROPRIADO PARA PNE's</t>
    </r>
    <r>
      <rPr>
        <sz val="10"/>
        <color rgb="FF000000"/>
        <rFont val="Arial"/>
        <family val="2"/>
      </rPr>
      <t xml:space="preserve"> (PORTADORES DE NECESSIDADES ESPECIAIS), INCLUSIVE QUANTO A SISTEMAS DE ILUMINAÇÃO, EMERGÊNCIA, INDICAÇÕES DE PAINÉIS E SINALIZAÇÕES, COM PERCURSO DE 3 (TRÊS) PARADAS (TÉRREO, 1º PAV. E 2º PAV) E CAPACIDADE DE 600KG, PARA 8 PESSOAS, DO TIPO HIDRÁULICO, </t>
    </r>
    <r>
      <rPr>
        <b/>
        <u/>
        <sz val="10"/>
        <color rgb="FF000000"/>
        <rFont val="Arial"/>
        <family val="2"/>
      </rPr>
      <t>CABINE INTERNA COM DIMENSÕES (MM - LxPxA) DE 1100X1400X2200, ADEQUADO PARA UMA CAIXA DE CORRIDA DE (MM - LxP) 1650X1800, OBEDECENDO ÚLTIMA ALTURA (UA) DE 3,63 METROS E POÇO DE ATÉ 1,30M (CONFORME ESPECIFICAÇÕES DO PROJETO ESTRUTURAL E MEMORIAL DESCRITIVO EM ANEXO)</t>
    </r>
    <r>
      <rPr>
        <b/>
        <sz val="10"/>
        <color rgb="FF000000"/>
        <rFont val="Arial"/>
        <family val="2"/>
      </rPr>
      <t xml:space="preserve">. </t>
    </r>
    <r>
      <rPr>
        <sz val="10"/>
        <color rgb="FF000000"/>
        <rFont val="Arial"/>
        <family val="2"/>
      </rPr>
      <t xml:space="preserve">A CABINE DEVE TER ACABAMENTO DE TETO, PAREDES E RODAPÉS EM AÇO INOX ESCOVADO, PISO DE GRANITO, ESPELHO DE ALTURA DO CORRIMÃO AO TETO, SISTEMA DE VENTILAÇÃO, CORRIMÃOS DE AÇO INOX ARREDONDADOS E ILUMINAÇÃO DE LED. </t>
    </r>
    <r>
      <rPr>
        <b/>
        <u/>
        <sz val="10"/>
        <color rgb="FF000000"/>
        <rFont val="Arial"/>
        <family val="2"/>
      </rPr>
      <t xml:space="preserve">EQUIPAMENTO DEVE TER SISTEMA DE RESGATE AUTOMÁTICO (EM CASO DE PANE/FALTA DE ENERGIA CONDUZ A CABINE AO PAVIMENTO ABAIXO MAIS PRÓXIMO) E INTERFONE PARA EMERGÊNCIA. </t>
    </r>
    <r>
      <rPr>
        <sz val="10"/>
        <color rgb="FF000000"/>
        <rFont val="Arial"/>
        <family val="2"/>
      </rPr>
      <t xml:space="preserve">*NOTAS: OBRIGATÓRIO OBEDECER A NBR 13994. CONTRATADA DEVE FORNECER O PROJETO EXECUTIVO DAS NECESSIDADES PREDIAIS ACERCA DO EQUIPAMENTO, ATENDENDO AO PROJETO ESTRUTURAL EM ANEXO. </t>
    </r>
    <r>
      <rPr>
        <b/>
        <u/>
        <sz val="10"/>
        <color rgb="FF000000"/>
        <rFont val="Arial"/>
        <family val="2"/>
      </rPr>
      <t>CONFERIR DIMENSÕES IN LOCO ANTES DA INSTALAÇÃO.</t>
    </r>
  </si>
  <si>
    <t>Lillo Elevadores</t>
  </si>
  <si>
    <t>02.395.602/0001-10</t>
  </si>
  <si>
    <t>Laryssa</t>
  </si>
  <si>
    <t>Milano Elevadores</t>
  </si>
  <si>
    <t>10.890.445/0001-48</t>
  </si>
  <si>
    <t>Fabrício</t>
  </si>
  <si>
    <t>Villarta Elevadores</t>
  </si>
  <si>
    <t>54.222.401/0004-68</t>
  </si>
  <si>
    <t>Willian</t>
  </si>
  <si>
    <t>CAU nº A1465155</t>
  </si>
  <si>
    <t>COMPOSIÇÃO ORÇAMENTÁRIA</t>
  </si>
  <si>
    <t>Arq Vidros</t>
  </si>
  <si>
    <t>Forma Esquadrias</t>
  </si>
  <si>
    <t>H.R.G. Vidros</t>
  </si>
  <si>
    <t>Comp. 1</t>
  </si>
  <si>
    <t>FABRICAÇÃO, TRANSPORTE E INSTALAÇÃO DE ESTRUTURA COMPLETA PARA FACHADA EM STRUCTURAL GLAZING E CHAPAS DE ACM. DEVERÃO SER FORNECIDOS E INSTALADOS TODOS OS VIDROS DO TIPO LAMINADO ESPELHADO CONFORME ESPECIFICAÇÕES DE PROJETO E ATENDENDO AS NORMAS NBR 6123 E NBR 10821.</t>
  </si>
  <si>
    <t>15.344.306/0001-32</t>
  </si>
  <si>
    <t>William</t>
  </si>
  <si>
    <t>(41)  99708-0320</t>
  </si>
  <si>
    <t xml:space="preserve"> 04.894.527/0001-68</t>
  </si>
  <si>
    <t>Marcelo</t>
  </si>
  <si>
    <t>(41) 99905-3262</t>
  </si>
  <si>
    <t>09.543.756/0001-60</t>
  </si>
  <si>
    <t>Hevaney</t>
  </si>
  <si>
    <t>(47) 98439-3717</t>
  </si>
  <si>
    <t>Contenda, 18 de fevereiro de 2019.</t>
  </si>
  <si>
    <t>suprimidro 74 metros do total DN150mm (licitado junto a cobertura). Retirado tubo DN100 (licitado junto a cobertura)</t>
  </si>
  <si>
    <t>-</t>
  </si>
  <si>
    <t>FACHADA</t>
  </si>
  <si>
    <t>LETRA EM AÇO INOX ESCOVADO/POLIDO 40 X 40CM - INSTALADO</t>
  </si>
  <si>
    <t>12045/ORSE</t>
  </si>
  <si>
    <t>PORTAS DOS BANHEIROS</t>
  </si>
  <si>
    <t>ELEVADOR</t>
  </si>
  <si>
    <t>FABRICAÇÃO, TRANSPORTE E INSTALAÇÃO DE ELEVADOR SEM CASA DE MÁQUINAS  APROPRIADO PARA PNE's (PORTADORES DE NECESSIDADES ESPECIAIS), INCLUSIVE QUANTO A SISTEMAS DE ILUMINAÇÃO, EMERGÊNCIA, INDICAÇÕES DE PAINÉIS E SINALIZAÇÕES, COM PERCURSO DE 3 (TRÊS) PARADAS (TÉRREO, 1º PAV. E 2º PAV) E CAPACIDADE DE 600KG, PARA 8 PESSOAS, DO TIPO HIDRÁULICO, CABINE INTERNA COM DIMENSÕES (MM - LxPxA) DE 1100X1400X2200, ADEQUADO PARA UMA CAIXA DE CORRIDA DE (MM - LxP) 1650X1800, OBEDECENDO ÚLTIMA ALTURA (UA) DE 3,63 METROS E POÇO DE ATÉ 1,30M (CONFORME ESPECIFICAÇÕES DO PROJETO ESTRUTURAL E MEMORIAL DESCRITIVO EM ANEXO). A CABINE DEVE TER ACABAMENTO DE TETO, PAREDES E RODAPÉS EM AÇO INOX ESCOVADO, PISO DE GRANITO, ESPELHO DE ALTURA DO CORRIMÃO AO TETO, SISTEMA DE VENTILAÇÃO, CORRIMÃOS DE AÇO INOX ARREDONDADOS E ILUMINAÇÃO DE LED. EQUIPAMENTO DEVE TER SISTEMA DE RESGATE AUTOMÁTICO (EM CASO DE PANE/FALTA DE ENERGIA CONDUZ A CABINE AO PAVIMENTO ABAIXO MAIS PRÓXIMO) E INTERFONE PARA EMERGÊNCIA. *NOTAS: OBRIGATÓRIO OBEDECER A NBR 13994. CONTRATADA DEVE FORNECER O PROJETO EXECUTIVO DAS NECESSIDADES PREDIAIS ACERCA DO EQUIPAMENTO, ATENDENDO AO PROJETO ESTRUTURAL EM ANEXO. CONFERIR DIMENSÕES IN LOCO ANTES DA INSTALAÇÃO.</t>
  </si>
  <si>
    <t>CONTENÇÃO PAVER</t>
  </si>
  <si>
    <t>m²</t>
  </si>
  <si>
    <t>QTD.</t>
  </si>
  <si>
    <t>FONTE</t>
  </si>
  <si>
    <t>VALOR UNIT.</t>
  </si>
  <si>
    <t>Media</t>
  </si>
  <si>
    <t>comp.</t>
  </si>
  <si>
    <t>ORÇAM.</t>
  </si>
  <si>
    <t>Valor SINAP c/ BDI</t>
  </si>
  <si>
    <t>SINAP/84191</t>
  </si>
  <si>
    <t>UNIT. C/ BDI</t>
  </si>
  <si>
    <t>EXECUÇÃO DE PISO EM GRANILITE, FULGET (ÁREAS EXTERNAS) E RODAPÉS. ESPESSURA DE 8MM E CORES CONFORME ESPECIFICAÇÕES DO PROJETO E LAYOUT DE PAGINAÇÃO DE PISO TOTALIZANDO 1178M². USO DE CIMENTO BRANCO.</t>
  </si>
  <si>
    <t>TOTAL LICITADO</t>
  </si>
  <si>
    <t>SUPRAESTRUTURA</t>
  </si>
  <si>
    <t>COBERTURA E CAPEAMENTO</t>
  </si>
  <si>
    <t>LICITADO</t>
  </si>
  <si>
    <t>VALOR TOTAL DA OBRA</t>
  </si>
  <si>
    <t>SINAPI / ORSE</t>
  </si>
  <si>
    <t>INFORMAÇÕES DE USO DO PROJETISTA:</t>
  </si>
  <si>
    <t>A LICITAR SEM DESCONTO</t>
  </si>
  <si>
    <t>DISPONÍVEL:</t>
  </si>
  <si>
    <t>corrigido. Econom. 4k</t>
  </si>
  <si>
    <t>DESCONTO 7,5%</t>
  </si>
  <si>
    <t>ALVENARIA BLOCO CERÂMICO VEDAÇÃO, 9X19X24CM, E=9CM, COM ARGAMASSA T5 - 1:2:8 (CIMENTO/CAL/AREIA), JUNTA=1CM - REV.09</t>
  </si>
  <si>
    <t>00151/ORSE</t>
  </si>
  <si>
    <t>LARRY HUGO SANCHES</t>
  </si>
  <si>
    <t>___________________________________________</t>
  </si>
  <si>
    <t>ARQUITETO E URBANISTA - CAU A146515-5</t>
  </si>
  <si>
    <t>VALOR TOTAL:</t>
  </si>
  <si>
    <t>A</t>
  </si>
  <si>
    <t>A.1</t>
  </si>
  <si>
    <t>B</t>
  </si>
  <si>
    <t>B.1</t>
  </si>
  <si>
    <t>B.2</t>
  </si>
  <si>
    <t>B.3</t>
  </si>
  <si>
    <t>C</t>
  </si>
  <si>
    <t>C.1</t>
  </si>
  <si>
    <t>C.2</t>
  </si>
  <si>
    <t>C.3</t>
  </si>
  <si>
    <t>D</t>
  </si>
  <si>
    <t>P</t>
  </si>
  <si>
    <t>E</t>
  </si>
  <si>
    <t>K</t>
  </si>
  <si>
    <t>D.1</t>
  </si>
  <si>
    <t>P.1</t>
  </si>
  <si>
    <t>D.2</t>
  </si>
  <si>
    <t>P.2</t>
  </si>
  <si>
    <t>D.3</t>
  </si>
  <si>
    <t>E.1</t>
  </si>
  <si>
    <t>E.2</t>
  </si>
  <si>
    <t>E.3</t>
  </si>
  <si>
    <t>E.4</t>
  </si>
  <si>
    <t>B.1.1</t>
  </si>
  <si>
    <t>B.2.1</t>
  </si>
  <si>
    <t>B.3.1</t>
  </si>
  <si>
    <t>A.2</t>
  </si>
  <si>
    <t>C.1.1</t>
  </si>
  <si>
    <t>C.1.2</t>
  </si>
  <si>
    <t>C.1.3</t>
  </si>
  <si>
    <t>C.2.1</t>
  </si>
  <si>
    <t>N</t>
  </si>
  <si>
    <t>C.3.1</t>
  </si>
  <si>
    <t>D.1.1</t>
  </si>
  <si>
    <t>D.2.1</t>
  </si>
  <si>
    <t>D.3.1</t>
  </si>
  <si>
    <t>D.3.2</t>
  </si>
  <si>
    <t>E.1.1</t>
  </si>
  <si>
    <t>E.1.2</t>
  </si>
  <si>
    <t>E.1.3</t>
  </si>
  <si>
    <t>E.1.4</t>
  </si>
  <si>
    <t>E.1.5</t>
  </si>
  <si>
    <t>E.1.6</t>
  </si>
  <si>
    <t>E.1.7</t>
  </si>
  <si>
    <t>E.1.8</t>
  </si>
  <si>
    <t>E.1.9</t>
  </si>
  <si>
    <t>COMPLEMENTOS E OUTROS EM FERRO/ACO, GUARDA-CORPO E CORRIMÃO</t>
  </si>
  <si>
    <t>E.2.1</t>
  </si>
  <si>
    <t>E.3.1</t>
  </si>
  <si>
    <t>E.3.2</t>
  </si>
  <si>
    <t>E.3.3</t>
  </si>
  <si>
    <t>E.3.4</t>
  </si>
  <si>
    <t>E.3.5</t>
  </si>
  <si>
    <t>E.3.6</t>
  </si>
  <si>
    <t>E.3.7</t>
  </si>
  <si>
    <t>E.3.8</t>
  </si>
  <si>
    <t>E.3.9</t>
  </si>
  <si>
    <t>E.4.1</t>
  </si>
  <si>
    <t>E.4.2</t>
  </si>
  <si>
    <t>F</t>
  </si>
  <si>
    <t>F.1</t>
  </si>
  <si>
    <t>F.2</t>
  </si>
  <si>
    <t>G</t>
  </si>
  <si>
    <t>G.1</t>
  </si>
  <si>
    <t>H.1</t>
  </si>
  <si>
    <t>H.1.1</t>
  </si>
  <si>
    <t>H.1.2</t>
  </si>
  <si>
    <t>H.1.3</t>
  </si>
  <si>
    <t>H.1.4</t>
  </si>
  <si>
    <t>H.1.5</t>
  </si>
  <si>
    <t>H.2</t>
  </si>
  <si>
    <t>H.2.1</t>
  </si>
  <si>
    <t>H.2.2</t>
  </si>
  <si>
    <t>H.3</t>
  </si>
  <si>
    <t>H.3.1</t>
  </si>
  <si>
    <t>H.3.2</t>
  </si>
  <si>
    <t>H.4</t>
  </si>
  <si>
    <t>H.4.1</t>
  </si>
  <si>
    <t>H.4.2</t>
  </si>
  <si>
    <t>H.5</t>
  </si>
  <si>
    <t>H.5.1</t>
  </si>
  <si>
    <t>CABOS ISOLAMENTO 0,6/1KV</t>
  </si>
  <si>
    <t>H.6</t>
  </si>
  <si>
    <t>H.6.1</t>
  </si>
  <si>
    <t>M.1</t>
  </si>
  <si>
    <t>H.6.2</t>
  </si>
  <si>
    <t>H.6.3</t>
  </si>
  <si>
    <t>H.6.4</t>
  </si>
  <si>
    <t>H.6.5</t>
  </si>
  <si>
    <t>H.6.6</t>
  </si>
  <si>
    <t>H.6.7</t>
  </si>
  <si>
    <t>H.6.8</t>
  </si>
  <si>
    <t>H.7</t>
  </si>
  <si>
    <t>H.7.1</t>
  </si>
  <si>
    <t>H.7.2</t>
  </si>
  <si>
    <t>H.7.3</t>
  </si>
  <si>
    <t>H.7.4</t>
  </si>
  <si>
    <t>H.7.5</t>
  </si>
  <si>
    <t>H.7.6</t>
  </si>
  <si>
    <t>H.8</t>
  </si>
  <si>
    <t>H.8.1</t>
  </si>
  <si>
    <t>H.8.2</t>
  </si>
  <si>
    <t>H.9</t>
  </si>
  <si>
    <t>DISJUNTORES MONOPOLARES</t>
  </si>
  <si>
    <t>H.9.1</t>
  </si>
  <si>
    <t>H.9.2</t>
  </si>
  <si>
    <t>H.9.4</t>
  </si>
  <si>
    <t>H.9.3</t>
  </si>
  <si>
    <t>H.9.5</t>
  </si>
  <si>
    <t>H.10</t>
  </si>
  <si>
    <t>DISJUNTORES BIPOLARES</t>
  </si>
  <si>
    <t>H.10.1</t>
  </si>
  <si>
    <t>H.10.2</t>
  </si>
  <si>
    <t>H.10.3</t>
  </si>
  <si>
    <t>H.11</t>
  </si>
  <si>
    <t>H.11.1</t>
  </si>
  <si>
    <t>H.11.2</t>
  </si>
  <si>
    <t>H.11.3</t>
  </si>
  <si>
    <t>H.11.4</t>
  </si>
  <si>
    <t>INTERRUPTORES SIMPLES</t>
  </si>
  <si>
    <t>H.12</t>
  </si>
  <si>
    <t>H.12.1</t>
  </si>
  <si>
    <t>INTERRUPTORES ESPECIAIS</t>
  </si>
  <si>
    <t>H.13</t>
  </si>
  <si>
    <t>H.13.1</t>
  </si>
  <si>
    <t>H.14</t>
  </si>
  <si>
    <t>H.14.1</t>
  </si>
  <si>
    <t>H.14.2</t>
  </si>
  <si>
    <t>H.15</t>
  </si>
  <si>
    <t>H.15.1</t>
  </si>
  <si>
    <t>H.16</t>
  </si>
  <si>
    <t>ILUMINAÇÃO DE EDIFICAÇÕES E EQUIPAMENTOS ELÉTRICOS - LUMINÁRIAS SOBREPOR</t>
  </si>
  <si>
    <t>H.16.1</t>
  </si>
  <si>
    <t>H.16.2</t>
  </si>
  <si>
    <t>H.17</t>
  </si>
  <si>
    <t>H.17.1</t>
  </si>
  <si>
    <t>I</t>
  </si>
  <si>
    <t>I.1</t>
  </si>
  <si>
    <t>I.1.1</t>
  </si>
  <si>
    <t>I.1.2</t>
  </si>
  <si>
    <t>I.2</t>
  </si>
  <si>
    <t>I.2.1</t>
  </si>
  <si>
    <t>I.2.2</t>
  </si>
  <si>
    <t>I.2.3</t>
  </si>
  <si>
    <t>I.2.4</t>
  </si>
  <si>
    <t>I.2.5</t>
  </si>
  <si>
    <t>I.2.6</t>
  </si>
  <si>
    <t>I.3</t>
  </si>
  <si>
    <t>CONECTOR DE MEDIÇÃO - CORDOALHA</t>
  </si>
  <si>
    <t>I.3.1</t>
  </si>
  <si>
    <t>I.3.2</t>
  </si>
  <si>
    <t>J</t>
  </si>
  <si>
    <t>J.1</t>
  </si>
  <si>
    <t>J.1.1</t>
  </si>
  <si>
    <t>J.1.2</t>
  </si>
  <si>
    <t>J.2</t>
  </si>
  <si>
    <t>J.2.1</t>
  </si>
  <si>
    <t>J.2.2</t>
  </si>
  <si>
    <t>J.2.3</t>
  </si>
  <si>
    <t>K.1</t>
  </si>
  <si>
    <t>K.1.1</t>
  </si>
  <si>
    <t>K.2</t>
  </si>
  <si>
    <t>K.2.1</t>
  </si>
  <si>
    <t>K.3</t>
  </si>
  <si>
    <t>K.3.1</t>
  </si>
  <si>
    <t>K.3.2</t>
  </si>
  <si>
    <t>K.4</t>
  </si>
  <si>
    <t>K.4.1</t>
  </si>
  <si>
    <t>K.5</t>
  </si>
  <si>
    <t>K.5.1</t>
  </si>
  <si>
    <t>K.6</t>
  </si>
  <si>
    <t>K.6.1</t>
  </si>
  <si>
    <t>K.6.2</t>
  </si>
  <si>
    <t>L.1</t>
  </si>
  <si>
    <t>L.1.1</t>
  </si>
  <si>
    <t>L.2</t>
  </si>
  <si>
    <t>L.2.1</t>
  </si>
  <si>
    <t>L.3</t>
  </si>
  <si>
    <t>L.3.1</t>
  </si>
  <si>
    <t>L.4</t>
  </si>
  <si>
    <t>L.4.1</t>
  </si>
  <si>
    <t>L.5</t>
  </si>
  <si>
    <t>L.5.1</t>
  </si>
  <si>
    <t>L.5.2</t>
  </si>
  <si>
    <t>L.5.3</t>
  </si>
  <si>
    <t>L.5.4</t>
  </si>
  <si>
    <t>L.5.5</t>
  </si>
  <si>
    <t>L.5.6</t>
  </si>
  <si>
    <t>L.5.7</t>
  </si>
  <si>
    <t>L.5.8</t>
  </si>
  <si>
    <t>L.6</t>
  </si>
  <si>
    <t>L.6.1</t>
  </si>
  <si>
    <t>L.6.2</t>
  </si>
  <si>
    <t>L.6.3</t>
  </si>
  <si>
    <t>L.6.4</t>
  </si>
  <si>
    <t>L.6.5</t>
  </si>
  <si>
    <t>L.7</t>
  </si>
  <si>
    <t>L.7.1</t>
  </si>
  <si>
    <t>L.7.2</t>
  </si>
  <si>
    <t>L.7.3</t>
  </si>
  <si>
    <t>L.7.4</t>
  </si>
  <si>
    <t>L.7.5</t>
  </si>
  <si>
    <t>L.7.6</t>
  </si>
  <si>
    <t>L.8</t>
  </si>
  <si>
    <t>L.8.1</t>
  </si>
  <si>
    <t>L.8.2</t>
  </si>
  <si>
    <t>L.8.3</t>
  </si>
  <si>
    <t>L.8.4</t>
  </si>
  <si>
    <t>L.9</t>
  </si>
  <si>
    <t>L.9.1</t>
  </si>
  <si>
    <t>L.9.2</t>
  </si>
  <si>
    <t>L.9.3</t>
  </si>
  <si>
    <t>L.9.4</t>
  </si>
  <si>
    <t>L.9.5</t>
  </si>
  <si>
    <t>L.10</t>
  </si>
  <si>
    <t>L.10.1</t>
  </si>
  <si>
    <t>L.10.2</t>
  </si>
  <si>
    <t>L.10.3</t>
  </si>
  <si>
    <t>L.10.4</t>
  </si>
  <si>
    <t>L.11</t>
  </si>
  <si>
    <t>L.11.1</t>
  </si>
  <si>
    <t>L.12</t>
  </si>
  <si>
    <t>L.12.1</t>
  </si>
  <si>
    <t>M.1.1</t>
  </si>
  <si>
    <t>M.2</t>
  </si>
  <si>
    <t>M.2.1</t>
  </si>
  <si>
    <t>M.2.2</t>
  </si>
  <si>
    <t>M.3</t>
  </si>
  <si>
    <t>M.3.1</t>
  </si>
  <si>
    <t>M.4</t>
  </si>
  <si>
    <t>M.4.1</t>
  </si>
  <si>
    <t>M.4.2</t>
  </si>
  <si>
    <t>M.5</t>
  </si>
  <si>
    <t>M.5.1</t>
  </si>
  <si>
    <t>M.6</t>
  </si>
  <si>
    <t>M.6.1</t>
  </si>
  <si>
    <t>M.6.2</t>
  </si>
  <si>
    <t>M.7</t>
  </si>
  <si>
    <t>M.7.1</t>
  </si>
  <si>
    <t>M.7.2</t>
  </si>
  <si>
    <t>M.8</t>
  </si>
  <si>
    <t>M.8.1</t>
  </si>
  <si>
    <t>M.8.2</t>
  </si>
  <si>
    <t>M.9</t>
  </si>
  <si>
    <t>M.9.1</t>
  </si>
  <si>
    <t>M.9.2</t>
  </si>
  <si>
    <t>M.9.3</t>
  </si>
  <si>
    <t>M.10</t>
  </si>
  <si>
    <t>M.10.1</t>
  </si>
  <si>
    <t>M.11</t>
  </si>
  <si>
    <t>M.11.1</t>
  </si>
  <si>
    <t>M.11.2</t>
  </si>
  <si>
    <t>M.12</t>
  </si>
  <si>
    <t>M.12.1</t>
  </si>
  <si>
    <t>M.13</t>
  </si>
  <si>
    <t>M.13.1</t>
  </si>
  <si>
    <t>N.1</t>
  </si>
  <si>
    <t>N.1.1</t>
  </si>
  <si>
    <t>N.2</t>
  </si>
  <si>
    <t>N.2.1</t>
  </si>
  <si>
    <t>N.2.2</t>
  </si>
  <si>
    <t>N.3</t>
  </si>
  <si>
    <t>N.3.1</t>
  </si>
  <si>
    <t>N.4</t>
  </si>
  <si>
    <t>N.4.1</t>
  </si>
  <si>
    <t>FORROS</t>
  </si>
  <si>
    <t>N.5</t>
  </si>
  <si>
    <t>N.5.1</t>
  </si>
  <si>
    <t>N.5.2</t>
  </si>
  <si>
    <t>N.6</t>
  </si>
  <si>
    <t>N.6.1</t>
  </si>
  <si>
    <t>N.7</t>
  </si>
  <si>
    <t>N.7.1</t>
  </si>
  <si>
    <t>N.8</t>
  </si>
  <si>
    <t>N.8.1</t>
  </si>
  <si>
    <t>N.9</t>
  </si>
  <si>
    <t>N.9.1</t>
  </si>
  <si>
    <t>PISO TÁTIL</t>
  </si>
  <si>
    <t>N.10</t>
  </si>
  <si>
    <t>N.10.1</t>
  </si>
  <si>
    <t>N.10.2</t>
  </si>
  <si>
    <t>O</t>
  </si>
  <si>
    <t>O.1</t>
  </si>
  <si>
    <t>O.1.1</t>
  </si>
  <si>
    <t>O.2</t>
  </si>
  <si>
    <t>O.2.1</t>
  </si>
  <si>
    <t>O.2.2</t>
  </si>
  <si>
    <t>O.3</t>
  </si>
  <si>
    <t>O.3.1</t>
  </si>
  <si>
    <t>O.4</t>
  </si>
  <si>
    <t>O.4.1</t>
  </si>
  <si>
    <t>O.4.2</t>
  </si>
  <si>
    <t>O.4.3</t>
  </si>
  <si>
    <t>P.1.1</t>
  </si>
  <si>
    <t>P.2.1</t>
  </si>
  <si>
    <t>P.3</t>
  </si>
  <si>
    <t>P.3.1</t>
  </si>
  <si>
    <t>P.3.2</t>
  </si>
  <si>
    <t>P.4</t>
  </si>
  <si>
    <t>P.4.1</t>
  </si>
  <si>
    <t>A LICITAR C/ DESCONTO 7%</t>
  </si>
  <si>
    <t>Tomador:</t>
  </si>
  <si>
    <t>MUNICÍPIO DE CONTENDA</t>
  </si>
  <si>
    <t>Empreendimento:</t>
  </si>
  <si>
    <t>Programa:</t>
  </si>
  <si>
    <t>FINISA</t>
  </si>
  <si>
    <t>Identifique o tipo de obra:</t>
  </si>
  <si>
    <t>Construção de edifícios:</t>
  </si>
  <si>
    <t>Informe a alíquota e a base de cálculo do ISSQN.</t>
  </si>
  <si>
    <t>Construção de rodovias e ferrovias:</t>
  </si>
  <si>
    <t>Alíquota (%)</t>
  </si>
  <si>
    <t>Construção de redes de abastecimento de água, coleta de esgoto e construções correlatas:</t>
  </si>
  <si>
    <t>Base de Cálculo</t>
  </si>
  <si>
    <t>Construção e manutenção de estações e redes de distribuição de energia elétrica:</t>
  </si>
  <si>
    <t>Informe a ocorrência da DESONERAÇÃO da folha de pagamento. Lei 12844/2013.</t>
  </si>
  <si>
    <t>Obras portuárias, marítimas e fluviais:</t>
  </si>
  <si>
    <t>X</t>
  </si>
  <si>
    <t>SEM Desoneração.</t>
  </si>
  <si>
    <t>Fornecimento de materiais e equipamentos:</t>
  </si>
  <si>
    <t>COM Desoneração.</t>
  </si>
  <si>
    <t>Intervalo de admissibilidade</t>
  </si>
  <si>
    <t>Item Componente do BDI</t>
  </si>
  <si>
    <t>1º Quartil</t>
  </si>
  <si>
    <t>Médio</t>
  </si>
  <si>
    <t>3º Quartil</t>
  </si>
  <si>
    <t>Valores Propostos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</si>
  <si>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</si>
  <si>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</si>
  <si>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</si>
  <si>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</si>
  <si>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</si>
  <si>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</t>
    </r>
  </si>
  <si>
    <r>
      <t>I2:</t>
    </r>
    <r>
      <rPr>
        <sz val="12"/>
        <rFont val="Arial"/>
        <family val="2"/>
      </rPr>
      <t xml:space="preserve"> ISSQN (conforme legislação municipal)</t>
    </r>
  </si>
  <si>
    <t>I3: Cont.Prev s/Rec.Bruta (Lei 12844/13 - Desoneração)</t>
  </si>
  <si>
    <t>BDI - SEM Desoneração da folha de pagamento</t>
  </si>
  <si>
    <t>BDI - COM Desoneração da folha de pagamento</t>
  </si>
  <si>
    <t>Declaramos que esta planilha foi elaborada conforme equação para cálculo do percentual do BDI recomendada pelo Acórdão 2622/2013 - TCU, representada pela fórmula abaixo.</t>
  </si>
  <si>
    <t xml:space="preserve">Declaramos também que, conforme legislação tributária municipal, a alíquota de ISS vigente e a respectiva base de cálculo são as informadas acima, e ainda, que a opção SEM desoneração é a mais vantajosa para a administração municipal. </t>
  </si>
  <si>
    <t>BDI - SEM Desoneração = [(1+AC+S+G+R)X(1+DF)X(1+L)/(1-I1-I2)]-1</t>
  </si>
  <si>
    <t>BDI - COM Desoneração = [(1+AC+S+G+R)X(1+DF)X(1+L)/(1-I1-I2-I3)]-1</t>
  </si>
  <si>
    <t>_________________________________</t>
  </si>
  <si>
    <t xml:space="preserve">"NOVO PAÇO MUNICIPAL" </t>
  </si>
  <si>
    <t xml:space="preserve">     PREFEITURA MUNICIPAL DE CONTENDA</t>
  </si>
  <si>
    <t>EMPREENDIMENTO: NOVO PAÇO MUNICIPAL - ETAPA 3 - SALDO</t>
  </si>
  <si>
    <t>Etapa</t>
  </si>
  <si>
    <t>Mês 1</t>
  </si>
  <si>
    <t>Mês 2</t>
  </si>
  <si>
    <t>Mês 3</t>
  </si>
  <si>
    <t>Mês 4</t>
  </si>
  <si>
    <t>Mês 5</t>
  </si>
  <si>
    <t>Mês 6</t>
  </si>
  <si>
    <t>Mês 7</t>
  </si>
  <si>
    <t xml:space="preserve">Total </t>
  </si>
  <si>
    <t>serviço de infraestrutura predial (hidráulica, elétrica, proteção contra surtos, prevenção de incêndios) e acabamentos (alvenaria, divisórias internas, pisos e revestimentos, pintura, forro, portas, louças e pias)</t>
  </si>
  <si>
    <t>Percentual</t>
  </si>
  <si>
    <t xml:space="preserve"> CRONOGRAMA FÍSICO-FINANCEIRO</t>
  </si>
  <si>
    <t>conferencia</t>
  </si>
  <si>
    <t>Contenda, 27 de fevereiro de 2020.</t>
  </si>
  <si>
    <t>Contenda/PR</t>
  </si>
  <si>
    <t>Contenda, 27 de fevereiro de 2019.</t>
  </si>
  <si>
    <t>FECHAMENTO, INFRAESTRUTURA PREDIAL, ELEVADOR, REVESTIMENTOS E ACABAMENTOS DO "NOVO PAÇO MUNICIPAL"</t>
  </si>
  <si>
    <t>FORRO EM DRYWALL, PARA AMBIENTES COMERCIAIS, INCLUSIVE ESTRUTURA DE FIXAÇÃO. AF_05/2017_P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</si>
</sst>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&quot; (&quot;#,##0.00\);&quot; -&quot;#\ ;@\ "/>
    <numFmt numFmtId="165" formatCode="&quot;R$&quot;\ #,##0.00"/>
    <numFmt numFmtId="166" formatCode="#,##0.00_ ;\-#,##0.00\ "/>
    <numFmt numFmtId="167" formatCode="&quot;( &quot;0&quot; )&quot;"/>
    <numFmt numFmtId="168" formatCode="_(* #,##0.00_);_(* \(#,##0.00\);_(* &quot;-&quot;??_);_(@_)"/>
    <numFmt numFmtId="169" formatCode="0.00000%"/>
  </numFmts>
  <fonts count="5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u/>
      <sz val="11"/>
      <color theme="10"/>
      <name val="Calibri"/>
      <family val="2"/>
      <scheme val="minor"/>
    </font>
    <font>
      <b/>
      <sz val="20"/>
      <name val="Arial"/>
      <family val="2"/>
    </font>
    <font>
      <b/>
      <sz val="13"/>
      <name val="Arial"/>
      <family val="2"/>
    </font>
    <font>
      <b/>
      <sz val="9"/>
      <name val="Old English"/>
    </font>
    <font>
      <b/>
      <sz val="12"/>
      <name val="Arial"/>
      <family val="2"/>
      <charset val="1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18"/>
      <name val="Arial"/>
      <family val="2"/>
    </font>
    <font>
      <sz val="12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Humnst777 Lt BT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Humnst777 Lt BT"/>
      <family val="2"/>
    </font>
    <font>
      <b/>
      <u/>
      <sz val="10"/>
      <color rgb="FF000000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10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color indexed="9"/>
      <name val="Arial"/>
      <family val="2"/>
    </font>
    <font>
      <sz val="16"/>
      <name val="Arial"/>
      <family val="2"/>
    </font>
    <font>
      <sz val="20"/>
      <name val="Arial"/>
      <family val="2"/>
    </font>
    <font>
      <b/>
      <sz val="12"/>
      <name val="Humnst777 Lt BT"/>
      <family val="2"/>
    </font>
    <font>
      <sz val="10"/>
      <color indexed="10"/>
      <name val="Humnst777 Lt BT"/>
      <family val="2"/>
    </font>
    <font>
      <b/>
      <sz val="10"/>
      <color indexed="9"/>
      <name val="Humnst777 Lt BT"/>
      <family val="2"/>
    </font>
    <font>
      <b/>
      <sz val="10"/>
      <color indexed="10"/>
      <name val="Humnst777 Lt BT"/>
      <family val="2"/>
    </font>
    <font>
      <u/>
      <sz val="10"/>
      <name val="Humnst777 Lt BT"/>
      <family val="2"/>
    </font>
    <font>
      <sz val="10"/>
      <name val="Humnst777 Lt BT"/>
    </font>
    <font>
      <b/>
      <sz val="1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5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56"/>
      </patternFill>
    </fill>
    <fill>
      <patternFill patternType="solid">
        <fgColor rgb="FFFFFF99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0000"/>
        <bgColor indexed="8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indexed="2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 style="medium">
        <color indexed="9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164" fontId="6" fillId="0" borderId="0" applyFill="0" applyBorder="0" applyAlignment="0" applyProtection="0"/>
    <xf numFmtId="0" fontId="6" fillId="0" borderId="0"/>
    <xf numFmtId="0" fontId="15" fillId="0" borderId="0"/>
    <xf numFmtId="0" fontId="17" fillId="0" borderId="0" applyNumberFormat="0" applyFill="0" applyBorder="0" applyAlignment="0" applyProtection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8" fontId="6" fillId="0" borderId="0" applyFont="0" applyFill="0" applyBorder="0" applyAlignment="0" applyProtection="0"/>
  </cellStyleXfs>
  <cellXfs count="410">
    <xf numFmtId="0" fontId="0" fillId="0" borderId="0" xfId="0"/>
    <xf numFmtId="0" fontId="2" fillId="2" borderId="0" xfId="1" applyNumberFormat="1" applyFont="1" applyFill="1" applyBorder="1" applyAlignment="1" applyProtection="1">
      <alignment vertical="center" wrapText="1"/>
    </xf>
    <xf numFmtId="0" fontId="3" fillId="0" borderId="0" xfId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vertical="center" wrapText="1"/>
    </xf>
    <xf numFmtId="0" fontId="4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  <xf numFmtId="4" fontId="5" fillId="3" borderId="0" xfId="1" applyNumberFormat="1" applyFont="1" applyFill="1" applyBorder="1" applyAlignment="1">
      <alignment horizontal="center" vertical="center" wrapText="1"/>
    </xf>
    <xf numFmtId="0" fontId="1" fillId="4" borderId="0" xfId="1" applyFont="1" applyFill="1" applyBorder="1" applyAlignment="1" applyProtection="1">
      <alignment vertical="center" wrapText="1"/>
    </xf>
    <xf numFmtId="0" fontId="2" fillId="0" borderId="0" xfId="1" applyNumberFormat="1" applyFont="1" applyBorder="1" applyAlignment="1" applyProtection="1">
      <alignment horizontal="center" vertical="center" wrapText="1"/>
    </xf>
    <xf numFmtId="0" fontId="1" fillId="0" borderId="0" xfId="1" applyFont="1" applyAlignment="1" applyProtection="1">
      <alignment vertical="center" wrapText="1"/>
    </xf>
    <xf numFmtId="0" fontId="1" fillId="0" borderId="0" xfId="1" applyFont="1" applyAlignment="1" applyProtection="1">
      <alignment horizontal="center" vertical="center" wrapText="1"/>
    </xf>
    <xf numFmtId="4" fontId="7" fillId="0" borderId="0" xfId="1" applyNumberFormat="1" applyFont="1" applyAlignment="1" applyProtection="1">
      <alignment horizontal="right" vertical="center"/>
    </xf>
    <xf numFmtId="4" fontId="1" fillId="0" borderId="0" xfId="1" applyNumberFormat="1" applyFont="1" applyAlignment="1" applyProtection="1">
      <alignment horizontal="right" vertical="center" wrapText="1"/>
    </xf>
    <xf numFmtId="4" fontId="9" fillId="5" borderId="7" xfId="1" applyNumberFormat="1" applyFont="1" applyFill="1" applyBorder="1" applyAlignment="1">
      <alignment horizontal="center" vertical="center" wrapText="1"/>
    </xf>
    <xf numFmtId="4" fontId="9" fillId="5" borderId="3" xfId="1" applyNumberFormat="1" applyFont="1" applyFill="1" applyBorder="1" applyAlignment="1">
      <alignment horizontal="center" vertical="center" wrapText="1"/>
    </xf>
    <xf numFmtId="0" fontId="10" fillId="0" borderId="8" xfId="2" applyNumberFormat="1" applyFont="1" applyFill="1" applyBorder="1" applyAlignment="1" applyProtection="1">
      <alignment horizontal="center" vertical="center"/>
    </xf>
    <xf numFmtId="0" fontId="10" fillId="6" borderId="8" xfId="2" applyNumberFormat="1" applyFont="1" applyFill="1" applyBorder="1" applyAlignment="1" applyProtection="1">
      <alignment horizontal="center" vertical="center"/>
    </xf>
    <xf numFmtId="0" fontId="11" fillId="6" borderId="8" xfId="3" applyFont="1" applyFill="1" applyBorder="1" applyAlignment="1">
      <alignment horizontal="center" vertical="center" wrapText="1"/>
    </xf>
    <xf numFmtId="0" fontId="9" fillId="6" borderId="8" xfId="2" applyNumberFormat="1" applyFont="1" applyFill="1" applyBorder="1" applyAlignment="1" applyProtection="1">
      <alignment horizontal="center" vertical="center"/>
    </xf>
    <xf numFmtId="0" fontId="9" fillId="6" borderId="8" xfId="3" applyFont="1" applyFill="1" applyBorder="1" applyAlignment="1">
      <alignment horizontal="left" vertical="center" wrapText="1"/>
    </xf>
    <xf numFmtId="0" fontId="12" fillId="6" borderId="8" xfId="3" applyFont="1" applyFill="1" applyBorder="1" applyAlignment="1">
      <alignment horizontal="center" vertical="center" wrapText="1"/>
    </xf>
    <xf numFmtId="0" fontId="13" fillId="0" borderId="0" xfId="1" applyFont="1" applyBorder="1" applyAlignment="1" applyProtection="1">
      <alignment vertical="center" wrapText="1"/>
    </xf>
    <xf numFmtId="0" fontId="10" fillId="2" borderId="8" xfId="3" applyFont="1" applyFill="1" applyBorder="1" applyAlignment="1">
      <alignment horizontal="left" vertical="center" wrapText="1"/>
    </xf>
    <xf numFmtId="0" fontId="11" fillId="2" borderId="8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7" borderId="8" xfId="4" applyFont="1" applyFill="1" applyBorder="1" applyAlignment="1">
      <alignment horizontal="center" vertical="center" wrapText="1"/>
    </xf>
    <xf numFmtId="0" fontId="16" fillId="7" borderId="8" xfId="4" applyFont="1" applyFill="1" applyBorder="1" applyAlignment="1">
      <alignment horizontal="left" vertical="center" wrapText="1"/>
    </xf>
    <xf numFmtId="4" fontId="16" fillId="7" borderId="8" xfId="4" applyNumberFormat="1" applyFont="1" applyFill="1" applyBorder="1" applyAlignment="1">
      <alignment horizontal="center" vertical="center" wrapText="1"/>
    </xf>
    <xf numFmtId="0" fontId="16" fillId="8" borderId="8" xfId="4" applyFont="1" applyFill="1" applyBorder="1" applyAlignment="1">
      <alignment horizontal="center" vertical="center" wrapText="1"/>
    </xf>
    <xf numFmtId="0" fontId="16" fillId="8" borderId="8" xfId="4" applyFont="1" applyFill="1" applyBorder="1" applyAlignment="1">
      <alignment horizontal="left" vertical="center" wrapText="1"/>
    </xf>
    <xf numFmtId="4" fontId="16" fillId="8" borderId="8" xfId="4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horizontal="center"/>
    </xf>
    <xf numFmtId="0" fontId="14" fillId="9" borderId="8" xfId="0" applyFont="1" applyFill="1" applyBorder="1" applyAlignment="1">
      <alignment horizontal="center"/>
    </xf>
    <xf numFmtId="4" fontId="14" fillId="9" borderId="8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6" borderId="8" xfId="2" quotePrefix="1" applyNumberFormat="1" applyFont="1" applyFill="1" applyBorder="1" applyAlignment="1" applyProtection="1">
      <alignment horizontal="center" vertical="center"/>
    </xf>
    <xf numFmtId="0" fontId="16" fillId="10" borderId="8" xfId="4" applyFont="1" applyFill="1" applyBorder="1" applyAlignment="1">
      <alignment horizontal="center" vertical="center" wrapText="1"/>
    </xf>
    <xf numFmtId="0" fontId="16" fillId="10" borderId="8" xfId="4" applyFont="1" applyFill="1" applyBorder="1" applyAlignment="1">
      <alignment horizontal="left" vertical="center" wrapText="1"/>
    </xf>
    <xf numFmtId="4" fontId="16" fillId="10" borderId="8" xfId="4" applyNumberFormat="1" applyFont="1" applyFill="1" applyBorder="1" applyAlignment="1">
      <alignment horizontal="center" vertical="center" wrapText="1"/>
    </xf>
    <xf numFmtId="0" fontId="0" fillId="11" borderId="0" xfId="0" applyFill="1"/>
    <xf numFmtId="2" fontId="9" fillId="5" borderId="9" xfId="1" applyNumberFormat="1" applyFont="1" applyFill="1" applyBorder="1" applyAlignment="1">
      <alignment horizontal="center" vertical="center" wrapText="1"/>
    </xf>
    <xf numFmtId="2" fontId="9" fillId="5" borderId="5" xfId="1" applyNumberFormat="1" applyFont="1" applyFill="1" applyBorder="1" applyAlignment="1">
      <alignment horizontal="center" vertical="center" wrapText="1"/>
    </xf>
    <xf numFmtId="2" fontId="5" fillId="3" borderId="0" xfId="1" applyNumberFormat="1" applyFont="1" applyFill="1" applyBorder="1" applyAlignment="1">
      <alignment horizontal="center" vertical="center" wrapText="1"/>
    </xf>
    <xf numFmtId="2" fontId="12" fillId="6" borderId="8" xfId="3" applyNumberFormat="1" applyFont="1" applyFill="1" applyBorder="1" applyAlignment="1">
      <alignment horizontal="center" vertical="center" wrapText="1"/>
    </xf>
    <xf numFmtId="2" fontId="11" fillId="2" borderId="8" xfId="3" applyNumberFormat="1" applyFont="1" applyFill="1" applyBorder="1" applyAlignment="1">
      <alignment horizontal="center" vertical="center" wrapText="1"/>
    </xf>
    <xf numFmtId="2" fontId="11" fillId="6" borderId="8" xfId="3" applyNumberFormat="1" applyFont="1" applyFill="1" applyBorder="1" applyAlignment="1">
      <alignment horizontal="center" vertical="center" wrapText="1"/>
    </xf>
    <xf numFmtId="2" fontId="1" fillId="0" borderId="0" xfId="1" applyNumberFormat="1" applyFont="1" applyAlignment="1" applyProtection="1">
      <alignment horizontal="center" vertical="center" wrapText="1"/>
    </xf>
    <xf numFmtId="0" fontId="0" fillId="11" borderId="8" xfId="0" applyFill="1" applyBorder="1"/>
    <xf numFmtId="0" fontId="0" fillId="0" borderId="0" xfId="0" applyAlignment="1">
      <alignment horizontal="center"/>
    </xf>
    <xf numFmtId="0" fontId="10" fillId="0" borderId="8" xfId="3" applyFont="1" applyFill="1" applyBorder="1" applyAlignment="1">
      <alignment horizontal="left" vertical="center" wrapText="1"/>
    </xf>
    <xf numFmtId="0" fontId="11" fillId="0" borderId="8" xfId="3" applyFont="1" applyFill="1" applyBorder="1" applyAlignment="1">
      <alignment horizontal="center" vertical="center" wrapText="1"/>
    </xf>
    <xf numFmtId="2" fontId="11" fillId="0" borderId="8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1" applyFont="1" applyBorder="1" applyAlignment="1" applyProtection="1">
      <alignment vertical="center" wrapText="1"/>
    </xf>
    <xf numFmtId="0" fontId="10" fillId="4" borderId="8" xfId="2" applyNumberFormat="1" applyFont="1" applyFill="1" applyBorder="1" applyAlignment="1" applyProtection="1">
      <alignment horizontal="center" vertical="center"/>
    </xf>
    <xf numFmtId="0" fontId="10" fillId="12" borderId="8" xfId="3" applyFont="1" applyFill="1" applyBorder="1" applyAlignment="1">
      <alignment horizontal="left" vertical="center" wrapText="1"/>
    </xf>
    <xf numFmtId="0" fontId="11" fillId="12" borderId="8" xfId="3" applyFont="1" applyFill="1" applyBorder="1" applyAlignment="1">
      <alignment horizontal="center" vertical="center" wrapText="1"/>
    </xf>
    <xf numFmtId="2" fontId="11" fillId="12" borderId="8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9" fillId="6" borderId="8" xfId="3" applyNumberFormat="1" applyFont="1" applyFill="1" applyBorder="1" applyAlignment="1">
      <alignment horizontal="center" vertical="center" wrapText="1"/>
    </xf>
    <xf numFmtId="165" fontId="11" fillId="2" borderId="8" xfId="3" applyNumberFormat="1" applyFont="1" applyFill="1" applyBorder="1" applyAlignment="1">
      <alignment horizontal="right" vertical="center" wrapText="1"/>
    </xf>
    <xf numFmtId="165" fontId="12" fillId="6" borderId="8" xfId="3" applyNumberFormat="1" applyFont="1" applyFill="1" applyBorder="1" applyAlignment="1">
      <alignment horizontal="right" vertical="center" wrapText="1"/>
    </xf>
    <xf numFmtId="165" fontId="11" fillId="0" borderId="8" xfId="3" applyNumberFormat="1" applyFont="1" applyFill="1" applyBorder="1" applyAlignment="1">
      <alignment horizontal="right" vertical="center" wrapText="1"/>
    </xf>
    <xf numFmtId="165" fontId="11" fillId="6" borderId="8" xfId="3" applyNumberFormat="1" applyFont="1" applyFill="1" applyBorder="1" applyAlignment="1">
      <alignment horizontal="right" vertical="center" wrapText="1"/>
    </xf>
    <xf numFmtId="165" fontId="11" fillId="12" borderId="8" xfId="3" applyNumberFormat="1" applyFont="1" applyFill="1" applyBorder="1" applyAlignment="1">
      <alignment horizontal="right" vertical="center" wrapText="1"/>
    </xf>
    <xf numFmtId="4" fontId="3" fillId="2" borderId="11" xfId="1" applyNumberFormat="1" applyFont="1" applyFill="1" applyBorder="1" applyAlignment="1" applyProtection="1">
      <alignment horizontal="center" vertical="center" wrapText="1"/>
    </xf>
    <xf numFmtId="4" fontId="3" fillId="2" borderId="7" xfId="1" applyNumberFormat="1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vertical="center"/>
    </xf>
    <xf numFmtId="49" fontId="22" fillId="2" borderId="7" xfId="0" applyNumberFormat="1" applyFont="1" applyFill="1" applyBorder="1" applyAlignment="1" applyProtection="1">
      <alignment horizontal="center" vertical="center"/>
      <protection locked="0"/>
    </xf>
    <xf numFmtId="0" fontId="22" fillId="2" borderId="13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165" fontId="0" fillId="0" borderId="8" xfId="0" applyNumberFormat="1" applyBorder="1"/>
    <xf numFmtId="0" fontId="0" fillId="0" borderId="10" xfId="0" applyBorder="1"/>
    <xf numFmtId="165" fontId="0" fillId="0" borderId="10" xfId="0" applyNumberFormat="1" applyBorder="1"/>
    <xf numFmtId="0" fontId="25" fillId="0" borderId="0" xfId="1" applyFont="1" applyBorder="1" applyAlignment="1" applyProtection="1">
      <alignment vertical="center" wrapText="1"/>
    </xf>
    <xf numFmtId="0" fontId="26" fillId="0" borderId="0" xfId="1" applyFont="1" applyBorder="1" applyAlignment="1" applyProtection="1">
      <alignment vertical="center" wrapText="1"/>
    </xf>
    <xf numFmtId="44" fontId="1" fillId="0" borderId="0" xfId="6" applyFont="1" applyBorder="1" applyAlignment="1" applyProtection="1">
      <alignment vertical="center" wrapText="1"/>
    </xf>
    <xf numFmtId="0" fontId="16" fillId="13" borderId="8" xfId="4" applyFont="1" applyFill="1" applyBorder="1" applyAlignment="1">
      <alignment horizontal="center" vertical="center" wrapText="1"/>
    </xf>
    <xf numFmtId="0" fontId="16" fillId="13" borderId="8" xfId="4" applyFont="1" applyFill="1" applyBorder="1" applyAlignment="1">
      <alignment horizontal="left" vertical="center" wrapText="1"/>
    </xf>
    <xf numFmtId="4" fontId="16" fillId="13" borderId="8" xfId="4" applyNumberFormat="1" applyFont="1" applyFill="1" applyBorder="1" applyAlignment="1">
      <alignment horizontal="center" vertical="center" wrapText="1"/>
    </xf>
    <xf numFmtId="0" fontId="0" fillId="14" borderId="8" xfId="0" applyFill="1" applyBorder="1"/>
    <xf numFmtId="0" fontId="0" fillId="14" borderId="0" xfId="0" applyFill="1"/>
    <xf numFmtId="0" fontId="14" fillId="14" borderId="8" xfId="0" applyFont="1" applyFill="1" applyBorder="1" applyAlignment="1">
      <alignment horizontal="center"/>
    </xf>
    <xf numFmtId="4" fontId="14" fillId="14" borderId="8" xfId="0" applyNumberFormat="1" applyFont="1" applyFill="1" applyBorder="1" applyAlignment="1">
      <alignment horizontal="center"/>
    </xf>
    <xf numFmtId="165" fontId="1" fillId="0" borderId="0" xfId="1" applyNumberFormat="1" applyFont="1" applyBorder="1" applyAlignment="1" applyProtection="1">
      <alignment vertical="center" wrapText="1"/>
    </xf>
    <xf numFmtId="0" fontId="29" fillId="15" borderId="7" xfId="0" applyFont="1" applyFill="1" applyBorder="1" applyAlignment="1">
      <alignment horizontal="center" vertical="center" wrapText="1"/>
    </xf>
    <xf numFmtId="0" fontId="29" fillId="15" borderId="3" xfId="0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/>
    </xf>
    <xf numFmtId="0" fontId="31" fillId="0" borderId="8" xfId="0" applyFont="1" applyFill="1" applyBorder="1" applyAlignment="1">
      <alignment horizontal="left" vertical="top" wrapText="1"/>
    </xf>
    <xf numFmtId="44" fontId="30" fillId="0" borderId="7" xfId="6" applyFont="1" applyBorder="1" applyAlignment="1">
      <alignment horizontal="center" vertical="center"/>
    </xf>
    <xf numFmtId="44" fontId="30" fillId="0" borderId="3" xfId="6" applyFont="1" applyBorder="1" applyAlignment="1">
      <alignment horizontal="center" vertical="center"/>
    </xf>
    <xf numFmtId="44" fontId="0" fillId="0" borderId="0" xfId="6" applyFont="1"/>
    <xf numFmtId="8" fontId="0" fillId="0" borderId="0" xfId="0" applyNumberFormat="1"/>
    <xf numFmtId="8" fontId="30" fillId="0" borderId="7" xfId="0" applyNumberFormat="1" applyFont="1" applyBorder="1" applyAlignment="1">
      <alignment vertical="center"/>
    </xf>
    <xf numFmtId="0" fontId="29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/>
    </xf>
    <xf numFmtId="0" fontId="29" fillId="17" borderId="8" xfId="0" applyFont="1" applyFill="1" applyBorder="1" applyAlignment="1">
      <alignment horizontal="center" vertical="center"/>
    </xf>
    <xf numFmtId="0" fontId="32" fillId="17" borderId="8" xfId="0" applyFont="1" applyFill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17" fontId="30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1" fillId="0" borderId="0" xfId="0" applyFont="1"/>
    <xf numFmtId="44" fontId="0" fillId="0" borderId="0" xfId="0" applyNumberFormat="1"/>
    <xf numFmtId="8" fontId="30" fillId="16" borderId="7" xfId="0" applyNumberFormat="1" applyFont="1" applyFill="1" applyBorder="1" applyAlignment="1">
      <alignment horizontal="center" vertical="center" wrapText="1"/>
    </xf>
    <xf numFmtId="44" fontId="6" fillId="0" borderId="7" xfId="6" applyFont="1" applyBorder="1" applyAlignment="1">
      <alignment horizontal="center" vertical="center"/>
    </xf>
    <xf numFmtId="8" fontId="30" fillId="0" borderId="7" xfId="0" applyNumberFormat="1" applyFont="1" applyBorder="1" applyAlignment="1">
      <alignment horizontal="center" vertical="center"/>
    </xf>
    <xf numFmtId="0" fontId="1" fillId="18" borderId="0" xfId="1" applyFont="1" applyFill="1" applyBorder="1" applyAlignment="1" applyProtection="1">
      <alignment vertical="center" wrapText="1"/>
    </xf>
    <xf numFmtId="8" fontId="10" fillId="2" borderId="8" xfId="3" applyNumberFormat="1" applyFont="1" applyFill="1" applyBorder="1" applyAlignment="1">
      <alignment horizontal="left" vertical="center" wrapText="1"/>
    </xf>
    <xf numFmtId="8" fontId="11" fillId="2" borderId="8" xfId="3" applyNumberFormat="1" applyFont="1" applyFill="1" applyBorder="1" applyAlignment="1">
      <alignment horizontal="right" vertical="center" wrapText="1"/>
    </xf>
    <xf numFmtId="0" fontId="10" fillId="9" borderId="8" xfId="2" applyNumberFormat="1" applyFont="1" applyFill="1" applyBorder="1" applyAlignment="1" applyProtection="1">
      <alignment horizontal="center" vertical="center"/>
    </xf>
    <xf numFmtId="44" fontId="1" fillId="0" borderId="0" xfId="6" applyFont="1" applyAlignment="1" applyProtection="1">
      <alignment horizontal="right" vertical="center" wrapText="1"/>
    </xf>
    <xf numFmtId="0" fontId="31" fillId="0" borderId="28" xfId="0" applyFont="1" applyFill="1" applyBorder="1" applyAlignment="1">
      <alignment horizontal="left" vertical="top" wrapText="1"/>
    </xf>
    <xf numFmtId="0" fontId="30" fillId="0" borderId="1" xfId="0" applyFont="1" applyBorder="1" applyAlignment="1">
      <alignment horizontal="center" vertical="center"/>
    </xf>
    <xf numFmtId="0" fontId="31" fillId="0" borderId="7" xfId="0" applyFont="1" applyFill="1" applyBorder="1" applyAlignment="1">
      <alignment horizontal="left" vertical="top" wrapText="1"/>
    </xf>
    <xf numFmtId="166" fontId="30" fillId="0" borderId="7" xfId="6" applyNumberFormat="1" applyFont="1" applyBorder="1" applyAlignment="1">
      <alignment horizontal="center" vertical="center"/>
    </xf>
    <xf numFmtId="0" fontId="29" fillId="17" borderId="7" xfId="0" applyFont="1" applyFill="1" applyBorder="1" applyAlignment="1">
      <alignment horizontal="center" vertical="center"/>
    </xf>
    <xf numFmtId="44" fontId="29" fillId="17" borderId="7" xfId="6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0" fontId="34" fillId="17" borderId="7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top"/>
    </xf>
    <xf numFmtId="44" fontId="1" fillId="0" borderId="0" xfId="1" applyNumberFormat="1" applyFont="1" applyBorder="1" applyAlignment="1" applyProtection="1">
      <alignment vertical="center" wrapText="1"/>
    </xf>
    <xf numFmtId="44" fontId="1" fillId="0" borderId="35" xfId="6" applyFont="1" applyBorder="1" applyAlignment="1" applyProtection="1">
      <alignment horizontal="right" vertical="center" wrapText="1"/>
    </xf>
    <xf numFmtId="44" fontId="1" fillId="0" borderId="38" xfId="6" applyFont="1" applyBorder="1" applyAlignment="1" applyProtection="1">
      <alignment horizontal="right" vertical="center" wrapText="1"/>
    </xf>
    <xf numFmtId="4" fontId="1" fillId="0" borderId="41" xfId="1" applyNumberFormat="1" applyFont="1" applyBorder="1" applyAlignment="1" applyProtection="1">
      <alignment horizontal="right" vertical="center" wrapText="1"/>
    </xf>
    <xf numFmtId="165" fontId="1" fillId="0" borderId="0" xfId="6" applyNumberFormat="1" applyFont="1" applyAlignment="1" applyProtection="1">
      <alignment horizontal="right" vertical="center" wrapText="1"/>
    </xf>
    <xf numFmtId="44" fontId="1" fillId="0" borderId="39" xfId="1" applyNumberFormat="1" applyFont="1" applyBorder="1" applyAlignment="1" applyProtection="1">
      <alignment vertical="center" wrapText="1"/>
    </xf>
    <xf numFmtId="44" fontId="1" fillId="0" borderId="41" xfId="6" applyFont="1" applyBorder="1" applyAlignment="1" applyProtection="1">
      <alignment vertical="center" wrapText="1"/>
    </xf>
    <xf numFmtId="0" fontId="22" fillId="2" borderId="0" xfId="1" applyFont="1" applyFill="1" applyBorder="1" applyAlignment="1" applyProtection="1">
      <alignment horizontal="right" vertical="center" wrapText="1"/>
    </xf>
    <xf numFmtId="0" fontId="36" fillId="0" borderId="0" xfId="1" applyFont="1" applyAlignment="1" applyProtection="1">
      <alignment horizontal="center" vertical="center" wrapText="1"/>
    </xf>
    <xf numFmtId="0" fontId="37" fillId="0" borderId="0" xfId="1" applyFont="1" applyAlignment="1" applyProtection="1">
      <alignment horizontal="center" vertical="center" wrapText="1"/>
    </xf>
    <xf numFmtId="0" fontId="9" fillId="0" borderId="8" xfId="2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3" xfId="0" applyFont="1" applyBorder="1" applyAlignment="1">
      <alignment vertical="center"/>
    </xf>
    <xf numFmtId="1" fontId="3" fillId="19" borderId="43" xfId="0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42" xfId="0" applyFont="1" applyBorder="1" applyAlignment="1">
      <alignment vertical="center" wrapText="1"/>
    </xf>
    <xf numFmtId="1" fontId="6" fillId="0" borderId="42" xfId="0" applyNumberFormat="1" applyFont="1" applyFill="1" applyBorder="1" applyAlignment="1" applyProtection="1">
      <alignment horizontal="center"/>
    </xf>
    <xf numFmtId="1" fontId="6" fillId="0" borderId="42" xfId="0" applyNumberFormat="1" applyFont="1" applyBorder="1" applyAlignment="1">
      <alignment horizontal="center"/>
    </xf>
    <xf numFmtId="167" fontId="6" fillId="9" borderId="29" xfId="0" applyNumberFormat="1" applyFont="1" applyFill="1" applyBorder="1" applyAlignment="1" applyProtection="1">
      <alignment horizontal="right" vertical="center"/>
    </xf>
    <xf numFmtId="0" fontId="6" fillId="9" borderId="7" xfId="0" applyNumberFormat="1" applyFont="1" applyFill="1" applyBorder="1" applyAlignment="1" applyProtection="1">
      <alignment horizontal="left" vertical="center" wrapText="1"/>
      <protection locked="0"/>
    </xf>
    <xf numFmtId="0" fontId="3" fillId="0" borderId="48" xfId="0" applyNumberFormat="1" applyFont="1" applyFill="1" applyBorder="1" applyAlignment="1" applyProtection="1">
      <alignment horizontal="right"/>
    </xf>
    <xf numFmtId="10" fontId="3" fillId="0" borderId="0" xfId="0" applyNumberFormat="1" applyFont="1" applyBorder="1" applyAlignment="1"/>
    <xf numFmtId="0" fontId="3" fillId="0" borderId="49" xfId="0" applyFont="1" applyBorder="1" applyAlignment="1">
      <alignment horizontal="center" vertical="center"/>
    </xf>
    <xf numFmtId="0" fontId="3" fillId="19" borderId="50" xfId="0" applyNumberFormat="1" applyFont="1" applyFill="1" applyBorder="1" applyAlignment="1" applyProtection="1">
      <alignment horizontal="right" vertical="top"/>
      <protection locked="0"/>
    </xf>
    <xf numFmtId="10" fontId="6" fillId="0" borderId="51" xfId="0" applyNumberFormat="1" applyFont="1" applyBorder="1" applyAlignment="1">
      <alignment vertical="top"/>
    </xf>
    <xf numFmtId="0" fontId="3" fillId="0" borderId="5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2" fillId="20" borderId="54" xfId="0" applyFont="1" applyFill="1" applyBorder="1" applyAlignment="1">
      <alignment horizontal="center" vertical="center" wrapText="1"/>
    </xf>
    <xf numFmtId="0" fontId="22" fillId="20" borderId="55" xfId="0" applyFont="1" applyFill="1" applyBorder="1" applyAlignment="1">
      <alignment horizontal="center" vertical="center" wrapText="1"/>
    </xf>
    <xf numFmtId="0" fontId="22" fillId="20" borderId="56" xfId="0" applyFont="1" applyFill="1" applyBorder="1" applyAlignment="1">
      <alignment horizontal="center" vertical="center" wrapText="1"/>
    </xf>
    <xf numFmtId="0" fontId="22" fillId="20" borderId="57" xfId="0" applyFont="1" applyFill="1" applyBorder="1" applyAlignment="1">
      <alignment vertical="center"/>
    </xf>
    <xf numFmtId="10" fontId="28" fillId="0" borderId="54" xfId="0" applyNumberFormat="1" applyFont="1" applyFill="1" applyBorder="1" applyAlignment="1">
      <alignment horizontal="center" vertical="center"/>
    </xf>
    <xf numFmtId="10" fontId="28" fillId="0" borderId="58" xfId="0" applyNumberFormat="1" applyFont="1" applyFill="1" applyBorder="1" applyAlignment="1">
      <alignment horizontal="center" vertical="center"/>
    </xf>
    <xf numFmtId="10" fontId="28" fillId="0" borderId="56" xfId="0" applyNumberFormat="1" applyFont="1" applyFill="1" applyBorder="1" applyAlignment="1">
      <alignment horizontal="center" vertical="center"/>
    </xf>
    <xf numFmtId="10" fontId="40" fillId="21" borderId="59" xfId="0" applyNumberFormat="1" applyFont="1" applyFill="1" applyBorder="1" applyAlignment="1" applyProtection="1">
      <alignment horizontal="center" vertical="center"/>
      <protection locked="0"/>
    </xf>
    <xf numFmtId="10" fontId="28" fillId="0" borderId="60" xfId="0" applyNumberFormat="1" applyFont="1" applyFill="1" applyBorder="1" applyAlignment="1">
      <alignment horizontal="center" vertical="center"/>
    </xf>
    <xf numFmtId="10" fontId="28" fillId="0" borderId="42" xfId="0" applyNumberFormat="1" applyFont="1" applyFill="1" applyBorder="1" applyAlignment="1">
      <alignment horizontal="center" vertical="center"/>
    </xf>
    <xf numFmtId="10" fontId="28" fillId="0" borderId="61" xfId="0" applyNumberFormat="1" applyFont="1" applyFill="1" applyBorder="1" applyAlignment="1">
      <alignment horizontal="center" vertical="center"/>
    </xf>
    <xf numFmtId="10" fontId="40" fillId="21" borderId="62" xfId="0" applyNumberFormat="1" applyFont="1" applyFill="1" applyBorder="1" applyAlignment="1" applyProtection="1">
      <alignment horizontal="center" vertical="center"/>
      <protection locked="0"/>
    </xf>
    <xf numFmtId="10" fontId="28" fillId="0" borderId="63" xfId="0" applyNumberFormat="1" applyFont="1" applyFill="1" applyBorder="1" applyAlignment="1">
      <alignment horizontal="center" vertical="center"/>
    </xf>
    <xf numFmtId="10" fontId="28" fillId="0" borderId="64" xfId="0" applyNumberFormat="1" applyFont="1" applyFill="1" applyBorder="1" applyAlignment="1">
      <alignment horizontal="center" vertical="center"/>
    </xf>
    <xf numFmtId="10" fontId="28" fillId="0" borderId="65" xfId="0" applyNumberFormat="1" applyFont="1" applyFill="1" applyBorder="1" applyAlignment="1">
      <alignment horizontal="center" vertical="center"/>
    </xf>
    <xf numFmtId="10" fontId="22" fillId="21" borderId="66" xfId="0" applyNumberFormat="1" applyFont="1" applyFill="1" applyBorder="1" applyAlignment="1" applyProtection="1">
      <alignment horizontal="center" vertical="center"/>
      <protection locked="0"/>
    </xf>
    <xf numFmtId="10" fontId="40" fillId="0" borderId="68" xfId="0" applyNumberFormat="1" applyFont="1" applyFill="1" applyBorder="1" applyAlignment="1" applyProtection="1">
      <alignment horizontal="center" vertical="center"/>
    </xf>
    <xf numFmtId="10" fontId="22" fillId="0" borderId="8" xfId="0" applyNumberFormat="1" applyFont="1" applyFill="1" applyBorder="1" applyAlignment="1">
      <alignment horizontal="center" vertical="center"/>
    </xf>
    <xf numFmtId="10" fontId="40" fillId="0" borderId="7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43" fontId="31" fillId="0" borderId="0" xfId="8" applyFont="1" applyAlignment="1">
      <alignment horizontal="center" vertical="center"/>
    </xf>
    <xf numFmtId="43" fontId="46" fillId="0" borderId="0" xfId="8" applyFont="1" applyAlignment="1">
      <alignment vertical="center"/>
    </xf>
    <xf numFmtId="49" fontId="31" fillId="0" borderId="0" xfId="0" applyNumberFormat="1" applyFont="1" applyBorder="1" applyAlignment="1">
      <alignment vertical="top"/>
    </xf>
    <xf numFmtId="0" fontId="31" fillId="0" borderId="0" xfId="0" applyFont="1" applyAlignment="1">
      <alignment horizontal="center" vertical="center"/>
    </xf>
    <xf numFmtId="0" fontId="34" fillId="22" borderId="8" xfId="0" applyFont="1" applyFill="1" applyBorder="1" applyAlignment="1">
      <alignment horizontal="center" vertical="center"/>
    </xf>
    <xf numFmtId="43" fontId="34" fillId="22" borderId="8" xfId="8" applyFont="1" applyFill="1" applyBorder="1" applyAlignment="1">
      <alignment horizontal="center" vertical="center"/>
    </xf>
    <xf numFmtId="43" fontId="47" fillId="0" borderId="0" xfId="8" applyFont="1" applyFill="1" applyAlignment="1">
      <alignment horizontal="center" vertical="center"/>
    </xf>
    <xf numFmtId="43" fontId="48" fillId="0" borderId="0" xfId="8" applyFont="1" applyFill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10" fontId="31" fillId="0" borderId="8" xfId="8" applyNumberFormat="1" applyFont="1" applyFill="1" applyBorder="1" applyAlignment="1">
      <alignment horizontal="center" vertical="center"/>
    </xf>
    <xf numFmtId="10" fontId="31" fillId="0" borderId="26" xfId="7" applyNumberFormat="1" applyFont="1" applyFill="1" applyBorder="1" applyAlignment="1">
      <alignment horizontal="center" vertical="center"/>
    </xf>
    <xf numFmtId="2" fontId="34" fillId="0" borderId="0" xfId="0" applyNumberFormat="1" applyFont="1" applyFill="1" applyAlignment="1">
      <alignment horizontal="center" vertical="center"/>
    </xf>
    <xf numFmtId="168" fontId="31" fillId="0" borderId="0" xfId="9" applyFont="1" applyFill="1" applyBorder="1" applyAlignment="1"/>
    <xf numFmtId="39" fontId="31" fillId="0" borderId="8" xfId="8" applyNumberFormat="1" applyFont="1" applyFill="1" applyBorder="1" applyAlignment="1">
      <alignment horizontal="center" vertical="center"/>
    </xf>
    <xf numFmtId="43" fontId="31" fillId="0" borderId="26" xfId="8" applyFont="1" applyFill="1" applyBorder="1" applyAlignment="1">
      <alignment horizontal="center" vertical="center"/>
    </xf>
    <xf numFmtId="7" fontId="31" fillId="0" borderId="8" xfId="8" applyNumberFormat="1" applyFont="1" applyFill="1" applyBorder="1" applyAlignment="1">
      <alignment horizontal="center" vertical="center"/>
    </xf>
    <xf numFmtId="10" fontId="31" fillId="0" borderId="77" xfId="8" applyNumberFormat="1" applyFont="1" applyFill="1" applyBorder="1" applyAlignment="1">
      <alignment horizontal="center" vertical="center"/>
    </xf>
    <xf numFmtId="43" fontId="31" fillId="0" borderId="28" xfId="8" applyFont="1" applyFill="1" applyBorder="1" applyAlignment="1">
      <alignment horizontal="center" vertical="center"/>
    </xf>
    <xf numFmtId="10" fontId="31" fillId="0" borderId="78" xfId="8" applyNumberFormat="1" applyFont="1" applyFill="1" applyBorder="1" applyAlignment="1">
      <alignment horizontal="center" vertical="center"/>
    </xf>
    <xf numFmtId="10" fontId="31" fillId="0" borderId="0" xfId="8" applyNumberFormat="1" applyFont="1" applyFill="1" applyBorder="1" applyAlignment="1">
      <alignment horizontal="center" vertical="center"/>
    </xf>
    <xf numFmtId="44" fontId="31" fillId="0" borderId="8" xfId="6" applyFont="1" applyFill="1" applyBorder="1" applyAlignment="1">
      <alignment horizontal="center" vertical="center"/>
    </xf>
    <xf numFmtId="43" fontId="31" fillId="0" borderId="0" xfId="0" applyNumberFormat="1" applyFont="1" applyAlignment="1">
      <alignment vertical="center"/>
    </xf>
    <xf numFmtId="169" fontId="31" fillId="0" borderId="0" xfId="0" applyNumberFormat="1" applyFont="1" applyAlignment="1">
      <alignment vertical="center"/>
    </xf>
    <xf numFmtId="0" fontId="34" fillId="0" borderId="0" xfId="0" applyFont="1" applyFill="1" applyBorder="1" applyAlignment="1">
      <alignment vertical="top"/>
    </xf>
    <xf numFmtId="0" fontId="31" fillId="0" borderId="0" xfId="0" applyFont="1" applyFill="1" applyBorder="1" applyAlignment="1">
      <alignment vertical="top" wrapText="1"/>
    </xf>
    <xf numFmtId="0" fontId="31" fillId="11" borderId="0" xfId="0" applyFont="1" applyFill="1" applyAlignment="1">
      <alignment vertical="center"/>
    </xf>
    <xf numFmtId="165" fontId="34" fillId="22" borderId="8" xfId="8" applyNumberFormat="1" applyFont="1" applyFill="1" applyBorder="1" applyAlignment="1">
      <alignment horizontal="center" vertical="center"/>
    </xf>
    <xf numFmtId="43" fontId="34" fillId="22" borderId="8" xfId="8" applyNumberFormat="1" applyFont="1" applyFill="1" applyBorder="1" applyAlignment="1">
      <alignment horizontal="center" vertical="center"/>
    </xf>
    <xf numFmtId="10" fontId="31" fillId="22" borderId="8" xfId="0" applyNumberFormat="1" applyFont="1" applyFill="1" applyBorder="1" applyAlignment="1">
      <alignment horizontal="center" vertical="center"/>
    </xf>
    <xf numFmtId="10" fontId="31" fillId="22" borderId="8" xfId="7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top"/>
    </xf>
    <xf numFmtId="10" fontId="31" fillId="0" borderId="0" xfId="0" applyNumberFormat="1" applyFont="1" applyAlignment="1">
      <alignment vertical="top"/>
    </xf>
    <xf numFmtId="10" fontId="31" fillId="0" borderId="0" xfId="0" applyNumberFormat="1" applyFont="1" applyAlignment="1">
      <alignment vertical="top" wrapText="1"/>
    </xf>
    <xf numFmtId="10" fontId="31" fillId="0" borderId="0" xfId="0" applyNumberFormat="1" applyFont="1" applyAlignment="1">
      <alignment vertical="center"/>
    </xf>
    <xf numFmtId="7" fontId="31" fillId="0" borderId="0" xfId="0" applyNumberFormat="1" applyFont="1" applyAlignment="1">
      <alignment vertical="top"/>
    </xf>
    <xf numFmtId="165" fontId="31" fillId="0" borderId="0" xfId="0" applyNumberFormat="1" applyFont="1" applyAlignment="1">
      <alignment vertical="center"/>
    </xf>
    <xf numFmtId="0" fontId="31" fillId="0" borderId="0" xfId="0" applyFont="1" applyFill="1"/>
    <xf numFmtId="2" fontId="31" fillId="0" borderId="0" xfId="0" applyNumberFormat="1" applyFont="1" applyFill="1" applyAlignment="1">
      <alignment vertical="center"/>
    </xf>
    <xf numFmtId="10" fontId="31" fillId="0" borderId="23" xfId="8" applyNumberFormat="1" applyFont="1" applyFill="1" applyBorder="1" applyAlignment="1">
      <alignment horizontal="center" vertical="center"/>
    </xf>
    <xf numFmtId="39" fontId="31" fillId="0" borderId="23" xfId="8" applyNumberFormat="1" applyFont="1" applyFill="1" applyBorder="1" applyAlignment="1">
      <alignment horizontal="center" vertical="center"/>
    </xf>
    <xf numFmtId="10" fontId="31" fillId="0" borderId="26" xfId="8" applyNumberFormat="1" applyFont="1" applyFill="1" applyBorder="1" applyAlignment="1">
      <alignment horizontal="center" vertical="center"/>
    </xf>
    <xf numFmtId="0" fontId="34" fillId="22" borderId="28" xfId="0" applyFont="1" applyFill="1" applyBorder="1" applyAlignment="1">
      <alignment horizontal="center" vertical="center"/>
    </xf>
    <xf numFmtId="10" fontId="31" fillId="0" borderId="0" xfId="7" applyNumberFormat="1" applyFont="1" applyFill="1" applyBorder="1" applyAlignment="1">
      <alignment horizontal="center" vertical="center"/>
    </xf>
    <xf numFmtId="39" fontId="31" fillId="0" borderId="0" xfId="8" applyNumberFormat="1" applyFont="1" applyFill="1" applyBorder="1" applyAlignment="1">
      <alignment horizontal="center" vertical="center"/>
    </xf>
    <xf numFmtId="43" fontId="31" fillId="0" borderId="0" xfId="8" applyFont="1" applyFill="1" applyBorder="1" applyAlignment="1">
      <alignment horizontal="center" vertical="center"/>
    </xf>
    <xf numFmtId="10" fontId="31" fillId="0" borderId="0" xfId="0" applyNumberFormat="1" applyFont="1" applyAlignment="1">
      <alignment horizontal="center" vertical="center"/>
    </xf>
    <xf numFmtId="7" fontId="31" fillId="0" borderId="0" xfId="0" applyNumberFormat="1" applyFont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165" fontId="9" fillId="6" borderId="8" xfId="3" applyNumberFormat="1" applyFont="1" applyFill="1" applyBorder="1" applyAlignment="1">
      <alignment horizontal="right" vertical="center" wrapText="1"/>
    </xf>
    <xf numFmtId="165" fontId="25" fillId="0" borderId="0" xfId="1" applyNumberFormat="1" applyFont="1" applyBorder="1" applyAlignment="1" applyProtection="1">
      <alignment vertical="center" wrapText="1"/>
    </xf>
    <xf numFmtId="43" fontId="31" fillId="0" borderId="8" xfId="8" applyNumberFormat="1" applyFont="1" applyFill="1" applyBorder="1" applyAlignment="1">
      <alignment horizontal="center" vertical="center"/>
    </xf>
    <xf numFmtId="10" fontId="31" fillId="0" borderId="8" xfId="7" applyNumberFormat="1" applyFont="1" applyFill="1" applyBorder="1" applyAlignment="1">
      <alignment horizontal="center" vertical="center"/>
    </xf>
    <xf numFmtId="43" fontId="31" fillId="0" borderId="8" xfId="8" applyFont="1" applyFill="1" applyBorder="1" applyAlignment="1">
      <alignment horizontal="center" vertical="center"/>
    </xf>
    <xf numFmtId="44" fontId="31" fillId="0" borderId="0" xfId="6" applyFont="1" applyFill="1" applyBorder="1" applyAlignment="1">
      <alignment horizontal="center" vertical="center"/>
    </xf>
    <xf numFmtId="39" fontId="31" fillId="0" borderId="26" xfId="8" applyNumberFormat="1" applyFont="1" applyFill="1" applyBorder="1" applyAlignment="1">
      <alignment horizontal="center" vertical="center"/>
    </xf>
    <xf numFmtId="10" fontId="31" fillId="0" borderId="27" xfId="7" applyNumberFormat="1" applyFont="1" applyFill="1" applyBorder="1" applyAlignment="1">
      <alignment horizontal="center" vertical="center"/>
    </xf>
    <xf numFmtId="43" fontId="31" fillId="0" borderId="27" xfId="8" applyFont="1" applyFill="1" applyBorder="1" applyAlignment="1">
      <alignment horizontal="center" vertical="center"/>
    </xf>
    <xf numFmtId="43" fontId="31" fillId="0" borderId="8" xfId="6" applyNumberFormat="1" applyFont="1" applyFill="1" applyBorder="1" applyAlignment="1">
      <alignment horizontal="center" vertical="center"/>
    </xf>
    <xf numFmtId="43" fontId="31" fillId="0" borderId="28" xfId="6" applyNumberFormat="1" applyFont="1" applyFill="1" applyBorder="1" applyAlignment="1">
      <alignment horizontal="center" vertical="center"/>
    </xf>
    <xf numFmtId="10" fontId="49" fillId="0" borderId="0" xfId="8" applyNumberFormat="1" applyFont="1" applyFill="1" applyBorder="1" applyAlignment="1">
      <alignment horizontal="center" vertical="center"/>
    </xf>
    <xf numFmtId="39" fontId="31" fillId="0" borderId="8" xfId="6" applyNumberFormat="1" applyFont="1" applyFill="1" applyBorder="1" applyAlignment="1">
      <alignment horizontal="center" vertical="center"/>
    </xf>
    <xf numFmtId="10" fontId="31" fillId="0" borderId="8" xfId="6" applyNumberFormat="1" applyFont="1" applyFill="1" applyBorder="1" applyAlignment="1">
      <alignment horizontal="center" vertical="center"/>
    </xf>
    <xf numFmtId="4" fontId="34" fillId="22" borderId="8" xfId="8" applyNumberFormat="1" applyFont="1" applyFill="1" applyBorder="1" applyAlignment="1">
      <alignment horizontal="center" vertical="center"/>
    </xf>
    <xf numFmtId="4" fontId="34" fillId="22" borderId="8" xfId="6" applyNumberFormat="1" applyFont="1" applyFill="1" applyBorder="1" applyAlignment="1">
      <alignment horizontal="center" vertical="center"/>
    </xf>
    <xf numFmtId="44" fontId="31" fillId="0" borderId="0" xfId="6" applyFont="1"/>
    <xf numFmtId="43" fontId="31" fillId="0" borderId="23" xfId="6" applyNumberFormat="1" applyFont="1" applyFill="1" applyBorder="1" applyAlignment="1"/>
    <xf numFmtId="4" fontId="9" fillId="5" borderId="3" xfId="1" applyNumberFormat="1" applyFont="1" applyFill="1" applyBorder="1" applyAlignment="1">
      <alignment horizontal="center" vertical="center" wrapText="1"/>
    </xf>
    <xf numFmtId="4" fontId="9" fillId="5" borderId="4" xfId="1" applyNumberFormat="1" applyFont="1" applyFill="1" applyBorder="1" applyAlignment="1">
      <alignment horizontal="center" vertical="center" wrapText="1"/>
    </xf>
    <xf numFmtId="4" fontId="9" fillId="5" borderId="11" xfId="1" applyNumberFormat="1" applyFont="1" applyFill="1" applyBorder="1" applyAlignment="1">
      <alignment horizontal="center" vertical="center" wrapText="1"/>
    </xf>
    <xf numFmtId="0" fontId="22" fillId="2" borderId="21" xfId="0" applyFont="1" applyFill="1" applyBorder="1" applyAlignment="1" applyProtection="1">
      <alignment horizontal="left" vertical="center" wrapText="1"/>
      <protection locked="0"/>
    </xf>
    <xf numFmtId="0" fontId="22" fillId="2" borderId="4" xfId="0" applyFont="1" applyFill="1" applyBorder="1" applyAlignment="1" applyProtection="1">
      <alignment horizontal="left" vertical="center" wrapText="1"/>
      <protection locked="0"/>
    </xf>
    <xf numFmtId="0" fontId="22" fillId="2" borderId="11" xfId="0" applyFont="1" applyFill="1" applyBorder="1" applyAlignment="1" applyProtection="1">
      <alignment horizontal="left" vertical="center" wrapText="1"/>
      <protection locked="0"/>
    </xf>
    <xf numFmtId="0" fontId="51" fillId="2" borderId="21" xfId="0" applyFont="1" applyFill="1" applyBorder="1" applyAlignment="1" applyProtection="1">
      <alignment horizontal="left" vertical="center" wrapText="1"/>
      <protection locked="0"/>
    </xf>
    <xf numFmtId="0" fontId="51" fillId="2" borderId="4" xfId="0" applyFont="1" applyFill="1" applyBorder="1" applyAlignment="1" applyProtection="1">
      <alignment horizontal="left" vertical="center" wrapText="1"/>
      <protection locked="0"/>
    </xf>
    <xf numFmtId="0" fontId="51" fillId="2" borderId="11" xfId="0" applyFont="1" applyFill="1" applyBorder="1" applyAlignment="1" applyProtection="1">
      <alignment horizontal="left" vertical="center" wrapText="1"/>
      <protection locked="0"/>
    </xf>
    <xf numFmtId="0" fontId="22" fillId="2" borderId="22" xfId="0" applyFont="1" applyFill="1" applyBorder="1" applyAlignment="1" applyProtection="1">
      <alignment horizontal="left" vertical="center" wrapText="1"/>
      <protection locked="0"/>
    </xf>
    <xf numFmtId="165" fontId="23" fillId="0" borderId="4" xfId="1" applyNumberFormat="1" applyFont="1" applyBorder="1" applyAlignment="1" applyProtection="1">
      <alignment horizontal="center" vertical="center" wrapText="1"/>
    </xf>
    <xf numFmtId="0" fontId="23" fillId="0" borderId="4" xfId="1" applyFont="1" applyBorder="1" applyAlignment="1" applyProtection="1">
      <alignment horizontal="center" vertical="center" wrapText="1"/>
    </xf>
    <xf numFmtId="0" fontId="23" fillId="0" borderId="11" xfId="1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8" fillId="5" borderId="1" xfId="1" applyNumberFormat="1" applyFont="1" applyFill="1" applyBorder="1" applyAlignment="1">
      <alignment horizontal="center" vertical="center" wrapText="1"/>
    </xf>
    <xf numFmtId="0" fontId="8" fillId="5" borderId="5" xfId="1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" fontId="1" fillId="0" borderId="0" xfId="1" applyNumberFormat="1" applyFont="1" applyAlignment="1" applyProtection="1">
      <alignment horizontal="center" vertical="center" wrapText="1"/>
    </xf>
    <xf numFmtId="0" fontId="36" fillId="0" borderId="0" xfId="1" applyFont="1" applyAlignment="1" applyProtection="1">
      <alignment horizontal="center" vertical="center" wrapText="1"/>
    </xf>
    <xf numFmtId="0" fontId="37" fillId="0" borderId="0" xfId="1" applyFont="1" applyAlignment="1" applyProtection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9" fillId="5" borderId="2" xfId="1" applyFont="1" applyFill="1" applyBorder="1" applyAlignment="1">
      <alignment horizontal="center" vertical="center" wrapText="1"/>
    </xf>
    <xf numFmtId="0" fontId="9" fillId="5" borderId="6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 wrapText="1"/>
    </xf>
    <xf numFmtId="4" fontId="1" fillId="0" borderId="39" xfId="1" applyNumberFormat="1" applyFont="1" applyBorder="1" applyAlignment="1" applyProtection="1">
      <alignment horizontal="center" vertical="center" wrapText="1"/>
    </xf>
    <xf numFmtId="4" fontId="1" fillId="0" borderId="40" xfId="1" applyNumberFormat="1" applyFont="1" applyBorder="1" applyAlignment="1" applyProtection="1">
      <alignment horizontal="center" vertical="center" wrapText="1"/>
    </xf>
    <xf numFmtId="0" fontId="26" fillId="4" borderId="0" xfId="1" applyFont="1" applyFill="1" applyBorder="1" applyAlignment="1" applyProtection="1">
      <alignment horizontal="center" vertical="center" wrapText="1"/>
    </xf>
    <xf numFmtId="4" fontId="1" fillId="0" borderId="0" xfId="1" applyNumberFormat="1" applyFont="1" applyBorder="1" applyAlignment="1" applyProtection="1">
      <alignment horizontal="center" vertical="center" wrapText="1"/>
    </xf>
    <xf numFmtId="0" fontId="9" fillId="6" borderId="8" xfId="3" applyFont="1" applyFill="1" applyBorder="1" applyAlignment="1">
      <alignment horizontal="center" vertical="center" wrapText="1"/>
    </xf>
    <xf numFmtId="0" fontId="26" fillId="18" borderId="0" xfId="1" applyFont="1" applyFill="1" applyBorder="1" applyAlignment="1" applyProtection="1">
      <alignment horizontal="center" vertical="center" wrapText="1"/>
    </xf>
    <xf numFmtId="4" fontId="1" fillId="0" borderId="37" xfId="1" applyNumberFormat="1" applyFont="1" applyBorder="1" applyAlignment="1" applyProtection="1">
      <alignment horizontal="center" vertical="center" wrapText="1"/>
    </xf>
    <xf numFmtId="4" fontId="1" fillId="0" borderId="34" xfId="1" applyNumberFormat="1" applyFont="1" applyBorder="1" applyAlignment="1" applyProtection="1">
      <alignment horizontal="center" vertical="center" wrapText="1"/>
    </xf>
    <xf numFmtId="2" fontId="1" fillId="0" borderId="33" xfId="1" applyNumberFormat="1" applyFont="1" applyBorder="1" applyAlignment="1" applyProtection="1">
      <alignment horizontal="center" vertical="center" wrapText="1"/>
    </xf>
    <xf numFmtId="2" fontId="1" fillId="0" borderId="36" xfId="1" applyNumberFormat="1" applyFont="1" applyBorder="1" applyAlignment="1" applyProtection="1">
      <alignment horizontal="center" vertical="center" wrapText="1"/>
    </xf>
    <xf numFmtId="0" fontId="26" fillId="0" borderId="0" xfId="1" applyFont="1" applyBorder="1" applyAlignment="1" applyProtection="1">
      <alignment horizontal="center" vertical="center" wrapText="1"/>
    </xf>
    <xf numFmtId="44" fontId="1" fillId="0" borderId="0" xfId="1" applyNumberFormat="1" applyFont="1" applyBorder="1" applyAlignment="1" applyProtection="1">
      <alignment horizontal="center" vertical="center" wrapText="1"/>
    </xf>
    <xf numFmtId="0" fontId="43" fillId="0" borderId="3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5" fillId="0" borderId="72" xfId="0" applyFont="1" applyBorder="1" applyAlignment="1">
      <alignment horizontal="center" vertical="center"/>
    </xf>
    <xf numFmtId="0" fontId="45" fillId="0" borderId="73" xfId="0" applyFont="1" applyBorder="1" applyAlignment="1">
      <alignment horizontal="center" vertical="center"/>
    </xf>
    <xf numFmtId="0" fontId="45" fillId="0" borderId="74" xfId="0" applyFont="1" applyBorder="1" applyAlignment="1">
      <alignment horizontal="center" vertical="center"/>
    </xf>
    <xf numFmtId="49" fontId="31" fillId="0" borderId="23" xfId="0" applyNumberFormat="1" applyFont="1" applyBorder="1" applyAlignment="1">
      <alignment horizontal="center" vertical="top"/>
    </xf>
    <xf numFmtId="49" fontId="31" fillId="0" borderId="27" xfId="0" applyNumberFormat="1" applyFont="1" applyBorder="1" applyAlignment="1">
      <alignment horizontal="center" vertical="top"/>
    </xf>
    <xf numFmtId="49" fontId="31" fillId="0" borderId="26" xfId="0" applyNumberFormat="1" applyFont="1" applyBorder="1" applyAlignment="1">
      <alignment horizontal="center" vertical="top"/>
    </xf>
    <xf numFmtId="0" fontId="31" fillId="17" borderId="28" xfId="8" applyNumberFormat="1" applyFont="1" applyFill="1" applyBorder="1" applyAlignment="1">
      <alignment horizontal="center" vertical="center"/>
    </xf>
    <xf numFmtId="0" fontId="31" fillId="17" borderId="75" xfId="8" applyNumberFormat="1" applyFont="1" applyFill="1" applyBorder="1" applyAlignment="1">
      <alignment horizontal="center" vertical="center"/>
    </xf>
    <xf numFmtId="0" fontId="50" fillId="17" borderId="28" xfId="0" applyFont="1" applyFill="1" applyBorder="1" applyAlignment="1">
      <alignment horizontal="center" vertical="center" wrapText="1"/>
    </xf>
    <xf numFmtId="0" fontId="50" fillId="17" borderId="75" xfId="0" applyFont="1" applyFill="1" applyBorder="1" applyAlignment="1">
      <alignment horizontal="center" vertical="center" wrapText="1"/>
    </xf>
    <xf numFmtId="0" fontId="31" fillId="17" borderId="76" xfId="8" applyNumberFormat="1" applyFont="1" applyFill="1" applyBorder="1" applyAlignment="1">
      <alignment horizontal="center" vertical="center"/>
    </xf>
    <xf numFmtId="0" fontId="31" fillId="17" borderId="72" xfId="8" applyNumberFormat="1" applyFont="1" applyFill="1" applyBorder="1" applyAlignment="1">
      <alignment horizontal="center" vertical="center"/>
    </xf>
    <xf numFmtId="0" fontId="50" fillId="17" borderId="8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top"/>
    </xf>
    <xf numFmtId="0" fontId="34" fillId="22" borderId="23" xfId="0" applyFont="1" applyFill="1" applyBorder="1" applyAlignment="1">
      <alignment horizontal="center" vertical="center"/>
    </xf>
    <xf numFmtId="0" fontId="34" fillId="22" borderId="26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top"/>
    </xf>
    <xf numFmtId="0" fontId="3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center" vertical="top" wrapText="1"/>
    </xf>
    <xf numFmtId="4" fontId="16" fillId="13" borderId="23" xfId="4" applyNumberFormat="1" applyFont="1" applyFill="1" applyBorder="1" applyAlignment="1">
      <alignment horizontal="center" vertical="center" wrapText="1"/>
    </xf>
    <xf numFmtId="4" fontId="16" fillId="13" borderId="24" xfId="4" applyNumberFormat="1" applyFont="1" applyFill="1" applyBorder="1" applyAlignment="1">
      <alignment horizontal="center" vertical="center" wrapText="1"/>
    </xf>
    <xf numFmtId="4" fontId="16" fillId="13" borderId="25" xfId="4" applyNumberFormat="1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0" fontId="29" fillId="15" borderId="7" xfId="0" applyFont="1" applyFill="1" applyBorder="1" applyAlignment="1">
      <alignment horizontal="center" vertical="center"/>
    </xf>
    <xf numFmtId="0" fontId="29" fillId="15" borderId="1" xfId="0" applyFont="1" applyFill="1" applyBorder="1" applyAlignment="1">
      <alignment horizontal="center" vertical="center"/>
    </xf>
    <xf numFmtId="0" fontId="29" fillId="15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30" fillId="0" borderId="1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44" fontId="30" fillId="16" borderId="3" xfId="6" applyFont="1" applyFill="1" applyBorder="1" applyAlignment="1">
      <alignment horizontal="center" vertical="center"/>
    </xf>
    <xf numFmtId="44" fontId="30" fillId="16" borderId="11" xfId="6" applyFont="1" applyFill="1" applyBorder="1" applyAlignment="1">
      <alignment horizontal="center" vertical="center"/>
    </xf>
    <xf numFmtId="44" fontId="29" fillId="17" borderId="3" xfId="6" applyFont="1" applyFill="1" applyBorder="1" applyAlignment="1">
      <alignment horizontal="center" vertical="center"/>
    </xf>
    <xf numFmtId="44" fontId="29" fillId="17" borderId="11" xfId="6" applyFont="1" applyFill="1" applyBorder="1" applyAlignment="1">
      <alignment horizontal="center" vertical="center"/>
    </xf>
    <xf numFmtId="44" fontId="30" fillId="0" borderId="1" xfId="0" applyNumberFormat="1" applyFont="1" applyBorder="1" applyAlignment="1">
      <alignment horizontal="center" vertical="center"/>
    </xf>
    <xf numFmtId="44" fontId="30" fillId="0" borderId="29" xfId="0" applyNumberFormat="1" applyFont="1" applyBorder="1" applyAlignment="1">
      <alignment horizontal="center" vertical="center"/>
    </xf>
    <xf numFmtId="44" fontId="30" fillId="0" borderId="5" xfId="0" applyNumberFormat="1" applyFont="1" applyBorder="1" applyAlignment="1">
      <alignment horizontal="center" vertical="center"/>
    </xf>
    <xf numFmtId="0" fontId="29" fillId="15" borderId="3" xfId="0" applyFont="1" applyFill="1" applyBorder="1" applyAlignment="1">
      <alignment horizontal="center" vertical="center"/>
    </xf>
    <xf numFmtId="0" fontId="29" fillId="15" borderId="11" xfId="0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34" fillId="0" borderId="0" xfId="0" applyFont="1" applyFill="1" applyBorder="1" applyAlignment="1">
      <alignment horizontal="center"/>
    </xf>
    <xf numFmtId="44" fontId="30" fillId="16" borderId="9" xfId="6" applyFont="1" applyFill="1" applyBorder="1" applyAlignment="1">
      <alignment horizontal="center" vertical="center"/>
    </xf>
    <xf numFmtId="44" fontId="30" fillId="16" borderId="30" xfId="6" applyFont="1" applyFill="1" applyBorder="1" applyAlignment="1">
      <alignment horizontal="center" vertical="center"/>
    </xf>
    <xf numFmtId="0" fontId="29" fillId="0" borderId="3" xfId="0" applyFont="1" applyBorder="1" applyAlignment="1">
      <alignment horizontal="right" vertical="center"/>
    </xf>
    <xf numFmtId="0" fontId="29" fillId="0" borderId="4" xfId="0" applyFont="1" applyBorder="1" applyAlignment="1">
      <alignment horizontal="right" vertical="center"/>
    </xf>
    <xf numFmtId="0" fontId="29" fillId="0" borderId="11" xfId="0" applyFont="1" applyBorder="1" applyAlignment="1">
      <alignment horizontal="right" vertical="center"/>
    </xf>
    <xf numFmtId="0" fontId="29" fillId="17" borderId="8" xfId="0" applyFont="1" applyFill="1" applyBorder="1" applyAlignment="1">
      <alignment horizontal="center" vertical="center"/>
    </xf>
    <xf numFmtId="0" fontId="29" fillId="17" borderId="23" xfId="0" applyFont="1" applyFill="1" applyBorder="1" applyAlignment="1">
      <alignment horizontal="center" vertical="center"/>
    </xf>
    <xf numFmtId="0" fontId="29" fillId="17" borderId="26" xfId="0" applyFont="1" applyFill="1" applyBorder="1" applyAlignment="1">
      <alignment horizontal="center" vertical="center"/>
    </xf>
    <xf numFmtId="0" fontId="29" fillId="15" borderId="9" xfId="0" applyFont="1" applyFill="1" applyBorder="1" applyAlignment="1">
      <alignment horizontal="center" vertical="center" wrapText="1"/>
    </xf>
    <xf numFmtId="0" fontId="29" fillId="15" borderId="30" xfId="0" applyFont="1" applyFill="1" applyBorder="1" applyAlignment="1">
      <alignment horizontal="center" vertical="center" wrapText="1"/>
    </xf>
    <xf numFmtId="0" fontId="29" fillId="15" borderId="31" xfId="0" applyFont="1" applyFill="1" applyBorder="1" applyAlignment="1">
      <alignment horizontal="center" vertical="center" wrapText="1"/>
    </xf>
    <xf numFmtId="0" fontId="29" fillId="15" borderId="3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28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 wrapText="1"/>
    </xf>
    <xf numFmtId="0" fontId="30" fillId="0" borderId="5" xfId="0" applyFont="1" applyBorder="1" applyAlignment="1">
      <alignment horizontal="left" vertical="top" wrapText="1"/>
    </xf>
    <xf numFmtId="44" fontId="30" fillId="16" borderId="1" xfId="6" applyFont="1" applyFill="1" applyBorder="1" applyAlignment="1">
      <alignment horizontal="center" vertical="center" wrapText="1"/>
    </xf>
    <xf numFmtId="44" fontId="30" fillId="16" borderId="5" xfId="6" applyFont="1" applyFill="1" applyBorder="1" applyAlignment="1">
      <alignment horizontal="center" vertical="center" wrapText="1"/>
    </xf>
    <xf numFmtId="0" fontId="29" fillId="17" borderId="27" xfId="0" applyFont="1" applyFill="1" applyBorder="1" applyAlignment="1">
      <alignment horizontal="center" vertical="center"/>
    </xf>
    <xf numFmtId="44" fontId="30" fillId="0" borderId="1" xfId="6" applyFont="1" applyBorder="1" applyAlignment="1">
      <alignment horizontal="center" vertical="center"/>
    </xf>
    <xf numFmtId="44" fontId="30" fillId="0" borderId="5" xfId="6" applyFont="1" applyBorder="1" applyAlignment="1">
      <alignment horizontal="center" vertical="center"/>
    </xf>
    <xf numFmtId="44" fontId="30" fillId="16" borderId="1" xfId="6" applyFont="1" applyFill="1" applyBorder="1" applyAlignment="1">
      <alignment horizontal="center" vertical="center"/>
    </xf>
    <xf numFmtId="44" fontId="30" fillId="16" borderId="5" xfId="6" applyFont="1" applyFill="1" applyBorder="1" applyAlignment="1">
      <alignment horizontal="center" vertical="center"/>
    </xf>
    <xf numFmtId="8" fontId="29" fillId="0" borderId="3" xfId="0" applyNumberFormat="1" applyFont="1" applyBorder="1" applyAlignment="1">
      <alignment horizontal="right" vertical="center"/>
    </xf>
    <xf numFmtId="0" fontId="29" fillId="15" borderId="3" xfId="0" applyFont="1" applyFill="1" applyBorder="1" applyAlignment="1">
      <alignment horizontal="center" vertical="center" wrapText="1"/>
    </xf>
    <xf numFmtId="0" fontId="29" fillId="15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7" fillId="0" borderId="0" xfId="5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69" xfId="0" applyFont="1" applyBorder="1" applyAlignment="1">
      <alignment vertical="center"/>
    </xf>
    <xf numFmtId="0" fontId="40" fillId="0" borderId="70" xfId="0" applyFont="1" applyBorder="1" applyAlignment="1">
      <alignment vertical="center"/>
    </xf>
    <xf numFmtId="0" fontId="28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2" fillId="0" borderId="8" xfId="0" applyFont="1" applyBorder="1" applyAlignment="1">
      <alignment vertical="center"/>
    </xf>
    <xf numFmtId="0" fontId="3" fillId="19" borderId="42" xfId="0" applyFont="1" applyFill="1" applyBorder="1" applyAlignment="1" applyProtection="1">
      <alignment vertical="center"/>
      <protection locked="0"/>
    </xf>
    <xf numFmtId="0" fontId="3" fillId="19" borderId="42" xfId="0" applyFont="1" applyFill="1" applyBorder="1" applyAlignment="1" applyProtection="1">
      <alignment vertical="distributed"/>
      <protection locked="0"/>
    </xf>
    <xf numFmtId="10" fontId="6" fillId="9" borderId="3" xfId="0" applyNumberFormat="1" applyFont="1" applyFill="1" applyBorder="1" applyAlignment="1">
      <alignment horizontal="justify" vertical="top" wrapText="1"/>
    </xf>
    <xf numFmtId="10" fontId="6" fillId="9" borderId="4" xfId="0" applyNumberFormat="1" applyFont="1" applyFill="1" applyBorder="1" applyAlignment="1">
      <alignment horizontal="justify" vertical="top" wrapText="1"/>
    </xf>
    <xf numFmtId="10" fontId="6" fillId="9" borderId="11" xfId="0" applyNumberFormat="1" applyFont="1" applyFill="1" applyBorder="1" applyAlignment="1">
      <alignment horizontal="justify" vertical="top" wrapText="1"/>
    </xf>
    <xf numFmtId="9" fontId="6" fillId="9" borderId="0" xfId="7" applyFont="1" applyFill="1" applyBorder="1" applyAlignment="1">
      <alignment horizontal="center" vertical="center"/>
    </xf>
    <xf numFmtId="9" fontId="6" fillId="9" borderId="44" xfId="7" applyFont="1" applyFill="1" applyBorder="1" applyAlignment="1">
      <alignment horizontal="center" vertical="center"/>
    </xf>
    <xf numFmtId="9" fontId="6" fillId="9" borderId="4" xfId="7" applyFont="1" applyFill="1" applyBorder="1" applyAlignment="1">
      <alignment horizontal="center" vertical="center"/>
    </xf>
    <xf numFmtId="9" fontId="6" fillId="9" borderId="11" xfId="7" applyFont="1" applyFill="1" applyBorder="1" applyAlignment="1">
      <alignment horizontal="center" vertical="center"/>
    </xf>
    <xf numFmtId="10" fontId="3" fillId="0" borderId="45" xfId="0" applyNumberFormat="1" applyFont="1" applyBorder="1" applyAlignment="1">
      <alignment horizontal="distributed" vertical="top"/>
    </xf>
    <xf numFmtId="0" fontId="3" fillId="0" borderId="46" xfId="0" applyFont="1" applyBorder="1" applyAlignment="1">
      <alignment horizontal="distributed" vertical="top"/>
    </xf>
    <xf numFmtId="0" fontId="3" fillId="0" borderId="47" xfId="0" applyFont="1" applyBorder="1" applyAlignment="1">
      <alignment horizontal="distributed" vertical="top"/>
    </xf>
    <xf numFmtId="0" fontId="22" fillId="20" borderId="53" xfId="0" applyFont="1" applyFill="1" applyBorder="1" applyAlignment="1">
      <alignment horizontal="center" vertical="center"/>
    </xf>
    <xf numFmtId="0" fontId="22" fillId="20" borderId="57" xfId="0" applyFont="1" applyFill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22" fillId="20" borderId="67" xfId="0" applyFont="1" applyFill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41" fillId="0" borderId="68" xfId="0" applyFont="1" applyFill="1" applyBorder="1" applyAlignment="1">
      <alignment vertical="center"/>
    </xf>
    <xf numFmtId="0" fontId="39" fillId="0" borderId="68" xfId="0" applyFont="1" applyFill="1" applyBorder="1" applyAlignment="1">
      <alignment vertical="center"/>
    </xf>
    <xf numFmtId="165" fontId="3" fillId="0" borderId="0" xfId="1" applyNumberFormat="1" applyFont="1" applyBorder="1" applyAlignment="1" applyProtection="1">
      <alignment horizontal="center" vertical="center" wrapText="1"/>
    </xf>
  </cellXfs>
  <cellStyles count="10">
    <cellStyle name="Excel Built-in Normal" xfId="1"/>
    <cellStyle name="Hiperlink" xfId="5" builtinId="8"/>
    <cellStyle name="Moeda" xfId="6" builtinId="4"/>
    <cellStyle name="Normal" xfId="0" builtinId="0"/>
    <cellStyle name="Normal_ELETRICA_2" xfId="3"/>
    <cellStyle name="Normal_Pesquisa no referencial 10 de maio de 2013" xfId="4"/>
    <cellStyle name="Porcentagem" xfId="7" builtinId="5"/>
    <cellStyle name="Separador de milhares_ELETRICA_2 2 2" xfId="2"/>
    <cellStyle name="Separador de milhares_Plan1" xfId="9"/>
    <cellStyle name="Vírgula" xfId="8" builtinId="3"/>
  </cellStyles>
  <dxfs count="366"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condense val="0"/>
        <extend val="0"/>
        <color auto="1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</font>
    </dxf>
    <dxf>
      <font>
        <condense val="0"/>
        <extend val="0"/>
      </font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6</xdr:row>
      <xdr:rowOff>0</xdr:rowOff>
    </xdr:from>
    <xdr:to>
      <xdr:col>4</xdr:col>
      <xdr:colOff>1066800</xdr:colOff>
      <xdr:row>6</xdr:row>
      <xdr:rowOff>0</xdr:rowOff>
    </xdr:to>
    <xdr:pic>
      <xdr:nvPicPr>
        <xdr:cNvPr id="3" name="Figuras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590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208467</xdr:colOff>
      <xdr:row>0</xdr:row>
      <xdr:rowOff>38100</xdr:rowOff>
    </xdr:from>
    <xdr:to>
      <xdr:col>3</xdr:col>
      <xdr:colOff>304800</xdr:colOff>
      <xdr:row>2</xdr:row>
      <xdr:rowOff>180975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967" y="38100"/>
          <a:ext cx="677358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215760</xdr:colOff>
      <xdr:row>0</xdr:row>
      <xdr:rowOff>19050</xdr:rowOff>
    </xdr:from>
    <xdr:to>
      <xdr:col>1</xdr:col>
      <xdr:colOff>696116</xdr:colOff>
      <xdr:row>0</xdr:row>
      <xdr:rowOff>704850</xdr:rowOff>
    </xdr:to>
    <xdr:pic>
      <xdr:nvPicPr>
        <xdr:cNvPr id="2" name="Picture 7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760" y="19050"/>
          <a:ext cx="84230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455542</xdr:colOff>
      <xdr:row>0</xdr:row>
      <xdr:rowOff>16330</xdr:rowOff>
    </xdr:from>
    <xdr:to>
      <xdr:col>1</xdr:col>
      <xdr:colOff>621195</xdr:colOff>
      <xdr:row>0</xdr:row>
      <xdr:rowOff>762000</xdr:rowOff>
    </xdr:to>
    <xdr:pic>
      <xdr:nvPicPr>
        <xdr:cNvPr id="3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542" y="16330"/>
          <a:ext cx="784778" cy="7456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0</xdr:row>
      <xdr:rowOff>19049</xdr:rowOff>
    </xdr:from>
    <xdr:to>
      <xdr:col>1</xdr:col>
      <xdr:colOff>423532</xdr:colOff>
      <xdr:row>0</xdr:row>
      <xdr:rowOff>542924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49"/>
          <a:ext cx="718807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455542</xdr:colOff>
      <xdr:row>0</xdr:row>
      <xdr:rowOff>16330</xdr:rowOff>
    </xdr:from>
    <xdr:to>
      <xdr:col>1</xdr:col>
      <xdr:colOff>621195</xdr:colOff>
      <xdr:row>0</xdr:row>
      <xdr:rowOff>667470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542" y="16330"/>
          <a:ext cx="784778" cy="470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1\Engenharia\Ovidio\RUA%20IZIDIO%20SICURO\BDI%20modelo%20sem%20desonera&#231;&#227;o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BDI 2622_2013_TCU"/>
      <sheetName val="BDI modelo sem desoneração2017"/>
    </sheetNames>
    <sheetDataSet>
      <sheetData sheetId="0"/>
      <sheetData sheetId="1">
        <row r="3">
          <cell r="G3">
            <v>3.7999999999999999E-2</v>
          </cell>
          <cell r="H3">
            <v>4.0099999999999997E-2</v>
          </cell>
          <cell r="I3">
            <v>4.6699999999999998E-2</v>
          </cell>
        </row>
        <row r="4">
          <cell r="G4">
            <v>3.2000000000000002E-3</v>
          </cell>
          <cell r="H4">
            <v>4.0000000000000001E-3</v>
          </cell>
          <cell r="I4">
            <v>7.4000000000000003E-3</v>
          </cell>
        </row>
        <row r="5">
          <cell r="G5">
            <v>5.0000000000000001E-3</v>
          </cell>
          <cell r="H5">
            <v>5.5999999999999999E-3</v>
          </cell>
          <cell r="I5">
            <v>9.7000000000000003E-3</v>
          </cell>
        </row>
        <row r="6">
          <cell r="G6">
            <v>1.0200000000000001E-2</v>
          </cell>
          <cell r="H6">
            <v>1.11E-2</v>
          </cell>
          <cell r="I6">
            <v>1.21E-2</v>
          </cell>
        </row>
        <row r="7">
          <cell r="G7">
            <v>6.6400000000000001E-2</v>
          </cell>
          <cell r="H7">
            <v>7.2999999999999995E-2</v>
          </cell>
          <cell r="I7">
            <v>8.6900000000000005E-2</v>
          </cell>
        </row>
        <row r="12">
          <cell r="K12">
            <v>0.24</v>
          </cell>
        </row>
        <row r="13">
          <cell r="K13">
            <v>0.24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roduto.mercadolivre.com.br/MLB-1336178751-caixa-dagua-tampa-rosca-fortlev-10000-lts-encomenda-_JM?matt_tool=82322591&amp;matt_word&amp;gclid=CjwKCAiA1rPyBRAREiwA1UIy8BX55ZpnKQ8ZcJfVwIgYrLnACkvSA7TGxmCxpQxGXSVr-9YoCyassBoCsesQAvD_BwE&amp;quantity=1" TargetMode="External"/><Relationship Id="rId2" Type="http://schemas.openxmlformats.org/officeDocument/2006/relationships/hyperlink" Target="https://www.madeiramadeira.com.br/tanque-fortlev-10000l-1635315.html" TargetMode="External"/><Relationship Id="rId1" Type="http://schemas.openxmlformats.org/officeDocument/2006/relationships/hyperlink" Target="https://www.americanas.com.br/produto/54542056/tanque-fortlev-10000l?pfm_carac=Caixa%20d%27%C3%A1gua&amp;pfm_index=1&amp;pfm_page=category&amp;pfm_pos=grid&amp;pfm_type=vit_product_grid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V327"/>
  <sheetViews>
    <sheetView tabSelected="1" view="pageBreakPreview" zoomScaleSheetLayoutView="100" workbookViewId="0">
      <pane ySplit="10" topLeftCell="A23" activePane="bottomLeft" state="frozen"/>
      <selection pane="bottomLeft" activeCell="E27" sqref="E27"/>
    </sheetView>
  </sheetViews>
  <sheetFormatPr defaultRowHeight="15"/>
  <cols>
    <col min="1" max="2" width="4.28515625" style="3" customWidth="1"/>
    <col min="3" max="3" width="8.7109375" style="8" customWidth="1"/>
    <col min="4" max="4" width="15.5703125" style="8" customWidth="1"/>
    <col min="5" max="5" width="86.140625" style="9" customWidth="1"/>
    <col min="6" max="6" width="8.140625" style="10" customWidth="1"/>
    <col min="7" max="7" width="10.85546875" style="47" customWidth="1"/>
    <col min="8" max="8" width="13.5703125" style="11" customWidth="1"/>
    <col min="9" max="9" width="13.5703125" style="12" customWidth="1"/>
    <col min="10" max="10" width="15.28515625" style="12" bestFit="1" customWidth="1"/>
    <col min="11" max="11" width="16" style="3" hidden="1" customWidth="1"/>
    <col min="12" max="12" width="11.5703125" style="3" hidden="1" customWidth="1"/>
    <col min="13" max="13" width="9.140625" style="3"/>
    <col min="14" max="15" width="15.28515625" style="3" bestFit="1" customWidth="1"/>
    <col min="16" max="16" width="14.42578125" style="3" bestFit="1" customWidth="1"/>
    <col min="17" max="16384" width="9.140625" style="3"/>
  </cols>
  <sheetData>
    <row r="1" spans="3:20" ht="27" thickBot="1">
      <c r="C1" s="259" t="s">
        <v>590</v>
      </c>
      <c r="D1" s="259"/>
      <c r="E1" s="269" t="s">
        <v>591</v>
      </c>
      <c r="F1" s="270"/>
      <c r="G1" s="270"/>
      <c r="H1" s="270"/>
      <c r="I1" s="270"/>
      <c r="J1" s="270"/>
      <c r="K1" s="271"/>
    </row>
    <row r="2" spans="3:20" ht="17.25" thickBot="1">
      <c r="C2" s="260"/>
      <c r="D2" s="260"/>
      <c r="E2" s="272" t="s">
        <v>584</v>
      </c>
      <c r="F2" s="273"/>
      <c r="G2" s="273"/>
      <c r="H2" s="273"/>
      <c r="I2" s="273"/>
      <c r="J2" s="273"/>
      <c r="K2" s="274"/>
    </row>
    <row r="3" spans="3:20" ht="15.75" thickBot="1">
      <c r="C3" s="261"/>
      <c r="D3" s="261"/>
      <c r="E3" s="275" t="s">
        <v>596</v>
      </c>
      <c r="F3" s="276"/>
      <c r="G3" s="276"/>
      <c r="H3" s="276"/>
      <c r="I3" s="276"/>
      <c r="J3" s="276"/>
      <c r="K3" s="277"/>
    </row>
    <row r="4" spans="3:20" ht="16.5" customHeight="1" thickBot="1">
      <c r="C4" s="264" t="s">
        <v>585</v>
      </c>
      <c r="D4" s="265"/>
      <c r="E4" s="249" t="s">
        <v>594</v>
      </c>
      <c r="F4" s="250"/>
      <c r="G4" s="250"/>
      <c r="H4" s="250"/>
      <c r="I4" s="251"/>
      <c r="J4" s="68" t="s">
        <v>592</v>
      </c>
      <c r="K4" s="69" t="s">
        <v>586</v>
      </c>
    </row>
    <row r="5" spans="3:20" ht="16.5" thickBot="1">
      <c r="C5" s="264" t="s">
        <v>587</v>
      </c>
      <c r="D5" s="265"/>
      <c r="E5" s="252" t="s">
        <v>1072</v>
      </c>
      <c r="F5" s="253"/>
      <c r="G5" s="253"/>
      <c r="H5" s="253"/>
      <c r="I5" s="254"/>
      <c r="J5" s="68" t="s">
        <v>700</v>
      </c>
      <c r="K5" s="69" t="s">
        <v>588</v>
      </c>
    </row>
    <row r="6" spans="3:20" ht="16.5" customHeight="1" thickBot="1">
      <c r="C6" s="264" t="s">
        <v>589</v>
      </c>
      <c r="D6" s="265"/>
      <c r="E6" s="249" t="s">
        <v>595</v>
      </c>
      <c r="F6" s="250"/>
      <c r="G6" s="250"/>
      <c r="H6" s="250"/>
      <c r="I6" s="255"/>
      <c r="J6" s="68" t="s">
        <v>593</v>
      </c>
      <c r="K6" s="70"/>
    </row>
    <row r="7" spans="3:20" s="2" customFormat="1" ht="16.5" thickBot="1">
      <c r="C7" s="1"/>
      <c r="D7" s="1"/>
      <c r="E7" s="131" t="s">
        <v>711</v>
      </c>
      <c r="F7" s="256">
        <f>J305</f>
        <v>1465038.2966666666</v>
      </c>
      <c r="G7" s="257"/>
      <c r="H7" s="258"/>
      <c r="I7" s="67" t="s">
        <v>236</v>
      </c>
      <c r="J7" s="66">
        <v>1.24</v>
      </c>
      <c r="N7" s="409">
        <v>1465038.3</v>
      </c>
    </row>
    <row r="8" spans="3:20" ht="15.75" thickBot="1">
      <c r="C8" s="262" t="s">
        <v>615</v>
      </c>
      <c r="D8" s="262" t="s">
        <v>0</v>
      </c>
      <c r="E8" s="278" t="s">
        <v>1</v>
      </c>
      <c r="F8" s="280" t="s">
        <v>2</v>
      </c>
      <c r="G8" s="41"/>
      <c r="H8" s="246" t="s">
        <v>3</v>
      </c>
      <c r="I8" s="247"/>
      <c r="J8" s="248"/>
    </row>
    <row r="9" spans="3:20" ht="26.25" customHeight="1" thickBot="1">
      <c r="C9" s="263"/>
      <c r="D9" s="263"/>
      <c r="E9" s="279"/>
      <c r="F9" s="279"/>
      <c r="G9" s="42" t="s">
        <v>233</v>
      </c>
      <c r="H9" s="13" t="s">
        <v>234</v>
      </c>
      <c r="I9" s="13" t="s">
        <v>235</v>
      </c>
      <c r="J9" s="14" t="s">
        <v>4</v>
      </c>
    </row>
    <row r="10" spans="3:20" s="7" customFormat="1" ht="5.25" customHeight="1">
      <c r="C10" s="4"/>
      <c r="D10" s="4"/>
      <c r="E10" s="5"/>
      <c r="F10" s="5"/>
      <c r="G10" s="43"/>
      <c r="H10" s="6"/>
      <c r="I10" s="6"/>
      <c r="J10" s="6"/>
      <c r="N10" s="283" t="s">
        <v>701</v>
      </c>
      <c r="O10" s="283"/>
      <c r="P10" s="283"/>
      <c r="Q10" s="283"/>
      <c r="R10" s="283"/>
      <c r="S10" s="283"/>
      <c r="T10" s="283"/>
    </row>
    <row r="11" spans="3:20" s="54" customFormat="1" ht="15" customHeight="1">
      <c r="C11" s="18" t="s">
        <v>712</v>
      </c>
      <c r="D11" s="18"/>
      <c r="E11" s="19" t="s">
        <v>11</v>
      </c>
      <c r="F11" s="20"/>
      <c r="G11" s="44"/>
      <c r="H11" s="62" t="s">
        <v>5</v>
      </c>
      <c r="I11" s="62" t="s">
        <v>5</v>
      </c>
      <c r="J11" s="228">
        <f>SUM(J12:J13)</f>
        <v>4617.57</v>
      </c>
    </row>
    <row r="12" spans="3:20" s="21" customFormat="1">
      <c r="C12" s="15" t="s">
        <v>713</v>
      </c>
      <c r="D12" s="15" t="s">
        <v>9</v>
      </c>
      <c r="E12" s="22" t="s">
        <v>10</v>
      </c>
      <c r="F12" s="23" t="s">
        <v>6</v>
      </c>
      <c r="G12" s="45">
        <f>1.5*2</f>
        <v>3</v>
      </c>
      <c r="H12" s="61">
        <v>357.41</v>
      </c>
      <c r="I12" s="61">
        <f>ROUND(H12*$J$7,2)</f>
        <v>443.19</v>
      </c>
      <c r="J12" s="61">
        <f>ROUND(G12*I12,2)</f>
        <v>1329.57</v>
      </c>
    </row>
    <row r="13" spans="3:20" ht="40.5" customHeight="1">
      <c r="C13" s="15" t="s">
        <v>738</v>
      </c>
      <c r="D13" s="15">
        <v>97063</v>
      </c>
      <c r="E13" s="22" t="s">
        <v>12</v>
      </c>
      <c r="F13" s="23" t="s">
        <v>6</v>
      </c>
      <c r="G13" s="45">
        <v>300</v>
      </c>
      <c r="H13" s="61">
        <v>8.84</v>
      </c>
      <c r="I13" s="61">
        <f>ROUND(H13*$J$7,2)</f>
        <v>10.96</v>
      </c>
      <c r="J13" s="61">
        <f>ROUND(G13*I13,2)</f>
        <v>3288</v>
      </c>
      <c r="N13" s="77">
        <v>1427846.59</v>
      </c>
    </row>
    <row r="14" spans="3:20" s="75" customFormat="1">
      <c r="C14" s="18" t="s">
        <v>714</v>
      </c>
      <c r="D14" s="18"/>
      <c r="E14" s="19" t="s">
        <v>14</v>
      </c>
      <c r="F14" s="20"/>
      <c r="G14" s="44"/>
      <c r="H14" s="62" t="s">
        <v>5</v>
      </c>
      <c r="I14" s="62" t="s">
        <v>5</v>
      </c>
      <c r="J14" s="228">
        <f>SUM(J15:J20)</f>
        <v>2849</v>
      </c>
    </row>
    <row r="15" spans="3:20" s="75" customFormat="1">
      <c r="C15" s="18" t="s">
        <v>715</v>
      </c>
      <c r="D15" s="18"/>
      <c r="E15" s="19" t="s">
        <v>15</v>
      </c>
      <c r="F15" s="20"/>
      <c r="G15" s="44"/>
      <c r="H15" s="62" t="s">
        <v>5</v>
      </c>
      <c r="I15" s="62" t="s">
        <v>5</v>
      </c>
      <c r="J15" s="62"/>
      <c r="N15" s="229"/>
    </row>
    <row r="16" spans="3:20" s="76" customFormat="1" ht="15" customHeight="1">
      <c r="C16" s="134" t="s">
        <v>735</v>
      </c>
      <c r="D16" s="15">
        <v>93358</v>
      </c>
      <c r="E16" s="22" t="s">
        <v>16</v>
      </c>
      <c r="F16" s="23" t="s">
        <v>13</v>
      </c>
      <c r="G16" s="45">
        <v>5</v>
      </c>
      <c r="H16" s="61">
        <v>68.67</v>
      </c>
      <c r="I16" s="61">
        <f>ROUND(H16*$J$7,2)</f>
        <v>85.15</v>
      </c>
      <c r="J16" s="61">
        <f>ROUND(G16*I16,2)</f>
        <v>425.75</v>
      </c>
    </row>
    <row r="17" spans="3:12" s="21" customFormat="1">
      <c r="C17" s="18" t="s">
        <v>716</v>
      </c>
      <c r="D17" s="18"/>
      <c r="E17" s="19" t="s">
        <v>17</v>
      </c>
      <c r="F17" s="20"/>
      <c r="G17" s="44"/>
      <c r="H17" s="62" t="s">
        <v>5</v>
      </c>
      <c r="I17" s="62" t="s">
        <v>5</v>
      </c>
      <c r="J17" s="62"/>
    </row>
    <row r="18" spans="3:12" ht="30" customHeight="1">
      <c r="C18" s="134" t="s">
        <v>736</v>
      </c>
      <c r="D18" s="15">
        <v>95875</v>
      </c>
      <c r="E18" s="22" t="s">
        <v>19</v>
      </c>
      <c r="F18" s="23" t="s">
        <v>18</v>
      </c>
      <c r="G18" s="45">
        <f>50*30</f>
        <v>1500</v>
      </c>
      <c r="H18" s="61">
        <v>0.96</v>
      </c>
      <c r="I18" s="61">
        <f t="shared" ref="I18" si="0">ROUND(H18*$J$7,2)</f>
        <v>1.19</v>
      </c>
      <c r="J18" s="61">
        <f t="shared" ref="J18" si="1">ROUND(G18*I18,2)</f>
        <v>1785</v>
      </c>
    </row>
    <row r="19" spans="3:12" s="21" customFormat="1">
      <c r="C19" s="18" t="s">
        <v>717</v>
      </c>
      <c r="D19" s="18"/>
      <c r="E19" s="19" t="s">
        <v>21</v>
      </c>
      <c r="F19" s="20"/>
      <c r="G19" s="44"/>
      <c r="H19" s="62" t="s">
        <v>5</v>
      </c>
      <c r="I19" s="62" t="s">
        <v>5</v>
      </c>
      <c r="J19" s="62"/>
    </row>
    <row r="20" spans="3:12" ht="30" customHeight="1">
      <c r="C20" s="134" t="s">
        <v>737</v>
      </c>
      <c r="D20" s="15">
        <v>94102</v>
      </c>
      <c r="E20" s="22" t="s">
        <v>22</v>
      </c>
      <c r="F20" s="23" t="s">
        <v>13</v>
      </c>
      <c r="G20" s="45">
        <v>3</v>
      </c>
      <c r="H20" s="61">
        <v>171.57</v>
      </c>
      <c r="I20" s="61">
        <f>ROUND(H20*$J$7,2)</f>
        <v>212.75</v>
      </c>
      <c r="J20" s="61">
        <f t="shared" ref="J20" si="2">ROUND(G20*I20,2)</f>
        <v>638.25</v>
      </c>
    </row>
    <row r="21" spans="3:12" s="21" customFormat="1">
      <c r="C21" s="18" t="s">
        <v>718</v>
      </c>
      <c r="D21" s="18"/>
      <c r="E21" s="19" t="s">
        <v>23</v>
      </c>
      <c r="F21" s="20"/>
      <c r="G21" s="44"/>
      <c r="H21" s="62" t="s">
        <v>5</v>
      </c>
      <c r="I21" s="62" t="s">
        <v>5</v>
      </c>
      <c r="J21" s="228">
        <f>SUM(J23:J29)</f>
        <v>54817.03</v>
      </c>
    </row>
    <row r="22" spans="3:12" s="21" customFormat="1">
      <c r="C22" s="18" t="s">
        <v>719</v>
      </c>
      <c r="D22" s="18"/>
      <c r="E22" s="19" t="s">
        <v>24</v>
      </c>
      <c r="F22" s="20"/>
      <c r="G22" s="44"/>
      <c r="H22" s="62" t="s">
        <v>5</v>
      </c>
      <c r="I22" s="62" t="s">
        <v>5</v>
      </c>
      <c r="J22" s="62"/>
    </row>
    <row r="23" spans="3:12" ht="15" customHeight="1">
      <c r="C23" s="134" t="s">
        <v>739</v>
      </c>
      <c r="D23" s="15">
        <v>93183</v>
      </c>
      <c r="E23" s="22" t="s">
        <v>25</v>
      </c>
      <c r="F23" s="23" t="s">
        <v>7</v>
      </c>
      <c r="G23" s="45">
        <v>86.72</v>
      </c>
      <c r="H23" s="61">
        <v>31.43</v>
      </c>
      <c r="I23" s="61">
        <f t="shared" ref="I23:I25" si="3">ROUND(H23*$J$7,2)</f>
        <v>38.97</v>
      </c>
      <c r="J23" s="61">
        <f t="shared" ref="J23:J25" si="4">ROUND(G23*I23,2)</f>
        <v>3379.48</v>
      </c>
    </row>
    <row r="24" spans="3:12" ht="15" customHeight="1">
      <c r="C24" s="134" t="s">
        <v>740</v>
      </c>
      <c r="D24" s="15">
        <v>93184</v>
      </c>
      <c r="E24" s="22" t="s">
        <v>26</v>
      </c>
      <c r="F24" s="23" t="s">
        <v>7</v>
      </c>
      <c r="G24" s="45">
        <v>24</v>
      </c>
      <c r="H24" s="61">
        <v>19.36</v>
      </c>
      <c r="I24" s="61">
        <f t="shared" si="3"/>
        <v>24.01</v>
      </c>
      <c r="J24" s="61">
        <f t="shared" si="4"/>
        <v>576.24</v>
      </c>
    </row>
    <row r="25" spans="3:12" ht="15" customHeight="1">
      <c r="C25" s="134" t="s">
        <v>741</v>
      </c>
      <c r="D25" s="15">
        <v>93185</v>
      </c>
      <c r="E25" s="22" t="s">
        <v>27</v>
      </c>
      <c r="F25" s="23" t="s">
        <v>7</v>
      </c>
      <c r="G25" s="45">
        <v>10</v>
      </c>
      <c r="H25" s="61">
        <v>30.85</v>
      </c>
      <c r="I25" s="61">
        <f t="shared" si="3"/>
        <v>38.25</v>
      </c>
      <c r="J25" s="61">
        <f t="shared" si="4"/>
        <v>382.5</v>
      </c>
    </row>
    <row r="26" spans="3:12" s="21" customFormat="1">
      <c r="C26" s="18" t="s">
        <v>720</v>
      </c>
      <c r="D26" s="18"/>
      <c r="E26" s="19" t="s">
        <v>28</v>
      </c>
      <c r="F26" s="20"/>
      <c r="G26" s="44"/>
      <c r="H26" s="62" t="s">
        <v>5</v>
      </c>
      <c r="I26" s="62" t="s">
        <v>5</v>
      </c>
      <c r="J26" s="62"/>
    </row>
    <row r="27" spans="3:12" ht="33" customHeight="1">
      <c r="C27" s="134" t="s">
        <v>742</v>
      </c>
      <c r="D27" s="15" t="s">
        <v>707</v>
      </c>
      <c r="E27" s="50" t="s">
        <v>706</v>
      </c>
      <c r="F27" s="51" t="s">
        <v>6</v>
      </c>
      <c r="G27" s="52">
        <v>1370.16</v>
      </c>
      <c r="H27" s="63">
        <v>29.07</v>
      </c>
      <c r="I27" s="63">
        <f t="shared" ref="I27" si="5">ROUND(H27*$J$7,2)</f>
        <v>36.049999999999997</v>
      </c>
      <c r="J27" s="63">
        <f t="shared" ref="J27" si="6">ROUND(G27*I27,2)</f>
        <v>49394.27</v>
      </c>
      <c r="K27" s="3" t="s">
        <v>557</v>
      </c>
    </row>
    <row r="28" spans="3:12" s="21" customFormat="1">
      <c r="C28" s="18" t="s">
        <v>721</v>
      </c>
      <c r="D28" s="18"/>
      <c r="E28" s="19" t="s">
        <v>29</v>
      </c>
      <c r="F28" s="20"/>
      <c r="G28" s="44"/>
      <c r="H28" s="62"/>
      <c r="I28" s="62"/>
      <c r="J28" s="62"/>
    </row>
    <row r="29" spans="3:12" ht="27.75" customHeight="1">
      <c r="C29" s="134" t="s">
        <v>744</v>
      </c>
      <c r="D29" s="15">
        <v>93200</v>
      </c>
      <c r="E29" s="50" t="s">
        <v>563</v>
      </c>
      <c r="F29" s="51" t="s">
        <v>7</v>
      </c>
      <c r="G29" s="52">
        <v>422</v>
      </c>
      <c r="H29" s="63">
        <v>2.0699999999999998</v>
      </c>
      <c r="I29" s="63">
        <f t="shared" ref="I29" si="7">ROUND(H29*$J$7,2)</f>
        <v>2.57</v>
      </c>
      <c r="J29" s="63">
        <f t="shared" ref="J29" si="8">ROUND(G29*I29,2)</f>
        <v>1084.54</v>
      </c>
    </row>
    <row r="30" spans="3:12" s="21" customFormat="1">
      <c r="C30" s="18" t="s">
        <v>722</v>
      </c>
      <c r="D30" s="18"/>
      <c r="E30" s="19" t="s">
        <v>30</v>
      </c>
      <c r="F30" s="20"/>
      <c r="G30" s="44"/>
      <c r="H30" s="62" t="s">
        <v>5</v>
      </c>
      <c r="I30" s="62" t="s">
        <v>5</v>
      </c>
      <c r="J30" s="228">
        <f>SUM(J32:J37)</f>
        <v>44376.369999999995</v>
      </c>
    </row>
    <row r="31" spans="3:12" s="21" customFormat="1">
      <c r="C31" s="18" t="s">
        <v>726</v>
      </c>
      <c r="D31" s="18"/>
      <c r="E31" s="19" t="s">
        <v>31</v>
      </c>
      <c r="F31" s="20"/>
      <c r="G31" s="44"/>
      <c r="H31" s="62" t="s">
        <v>5</v>
      </c>
      <c r="I31" s="62" t="s">
        <v>5</v>
      </c>
      <c r="J31" s="62"/>
    </row>
    <row r="32" spans="3:12" ht="30" customHeight="1">
      <c r="C32" s="15" t="s">
        <v>745</v>
      </c>
      <c r="D32" s="15" t="s">
        <v>569</v>
      </c>
      <c r="E32" s="22" t="s">
        <v>32</v>
      </c>
      <c r="F32" s="23" t="s">
        <v>6</v>
      </c>
      <c r="G32" s="45">
        <v>39.1</v>
      </c>
      <c r="H32" s="61">
        <v>314.76</v>
      </c>
      <c r="I32" s="61">
        <f t="shared" ref="I32" si="9">ROUND(H32*$J$7,2)</f>
        <v>390.3</v>
      </c>
      <c r="J32" s="61">
        <f t="shared" ref="J32" si="10">ROUND(G32*I32,2)</f>
        <v>15260.73</v>
      </c>
      <c r="K32" s="3" t="s">
        <v>507</v>
      </c>
      <c r="L32" s="3">
        <f>G32*COMPOSIÇÕES!H173*1.25</f>
        <v>25331.423749999998</v>
      </c>
    </row>
    <row r="33" spans="3:22" s="21" customFormat="1">
      <c r="C33" s="18" t="s">
        <v>728</v>
      </c>
      <c r="D33" s="18"/>
      <c r="E33" s="19" t="s">
        <v>33</v>
      </c>
      <c r="F33" s="20"/>
      <c r="G33" s="44"/>
      <c r="H33" s="62" t="s">
        <v>5</v>
      </c>
      <c r="I33" s="62" t="s">
        <v>5</v>
      </c>
      <c r="J33" s="62"/>
    </row>
    <row r="34" spans="3:22" ht="30" customHeight="1">
      <c r="C34" s="15" t="s">
        <v>746</v>
      </c>
      <c r="D34" s="15">
        <v>96358</v>
      </c>
      <c r="E34" s="22" t="s">
        <v>610</v>
      </c>
      <c r="F34" s="23" t="s">
        <v>6</v>
      </c>
      <c r="G34" s="45">
        <v>260</v>
      </c>
      <c r="H34" s="61">
        <v>82.38</v>
      </c>
      <c r="I34" s="61">
        <f t="shared" ref="I34" si="11">ROUND(H34*$J$7,2)</f>
        <v>102.15</v>
      </c>
      <c r="J34" s="61">
        <f t="shared" ref="J34" si="12">ROUND(G34*I34,2)</f>
        <v>26559</v>
      </c>
      <c r="N34" s="291" t="s">
        <v>609</v>
      </c>
      <c r="O34" s="291"/>
      <c r="P34" s="291"/>
      <c r="Q34" s="291"/>
      <c r="R34" s="291"/>
      <c r="S34" s="291" t="s">
        <v>611</v>
      </c>
      <c r="T34" s="291"/>
      <c r="U34" s="291"/>
      <c r="V34" s="291"/>
    </row>
    <row r="35" spans="3:22" s="21" customFormat="1">
      <c r="C35" s="18" t="s">
        <v>730</v>
      </c>
      <c r="D35" s="18"/>
      <c r="E35" s="19" t="s">
        <v>566</v>
      </c>
      <c r="F35" s="20"/>
      <c r="G35" s="44"/>
      <c r="H35" s="62"/>
      <c r="I35" s="62"/>
      <c r="J35" s="62"/>
    </row>
    <row r="36" spans="3:22" ht="15" customHeight="1">
      <c r="C36" s="15" t="s">
        <v>747</v>
      </c>
      <c r="D36" s="15" t="s">
        <v>564</v>
      </c>
      <c r="E36" s="22" t="s">
        <v>565</v>
      </c>
      <c r="F36" s="23" t="s">
        <v>6</v>
      </c>
      <c r="G36" s="45">
        <f>3.25*3.25</f>
        <v>10.5625</v>
      </c>
      <c r="H36" s="61">
        <v>114.7</v>
      </c>
      <c r="I36" s="61">
        <f t="shared" ref="I36" si="13">ROUND(H36*$J$7,2)</f>
        <v>142.22999999999999</v>
      </c>
      <c r="J36" s="61">
        <f t="shared" ref="J36" si="14">ROUND(G36*I36,2)</f>
        <v>1502.3</v>
      </c>
    </row>
    <row r="37" spans="3:22" ht="15" customHeight="1">
      <c r="C37" s="15" t="s">
        <v>748</v>
      </c>
      <c r="D37" s="15">
        <v>72175</v>
      </c>
      <c r="E37" s="22" t="s">
        <v>567</v>
      </c>
      <c r="F37" s="23" t="s">
        <v>6</v>
      </c>
      <c r="G37" s="45">
        <v>2.0499999999999998</v>
      </c>
      <c r="H37" s="61">
        <v>414.77</v>
      </c>
      <c r="I37" s="61">
        <f t="shared" ref="I37" si="15">ROUND(H37*$J$7,2)</f>
        <v>514.30999999999995</v>
      </c>
      <c r="J37" s="61">
        <f t="shared" ref="J37" si="16">ROUND(G37*I37,2)</f>
        <v>1054.3399999999999</v>
      </c>
      <c r="O37" s="291" t="s">
        <v>704</v>
      </c>
      <c r="P37" s="291"/>
      <c r="Q37" s="291"/>
      <c r="R37" s="291"/>
    </row>
    <row r="38" spans="3:22" s="21" customFormat="1">
      <c r="C38" s="18" t="s">
        <v>724</v>
      </c>
      <c r="D38" s="18"/>
      <c r="E38" s="19" t="s">
        <v>34</v>
      </c>
      <c r="F38" s="20"/>
      <c r="G38" s="44"/>
      <c r="H38" s="62" t="s">
        <v>5</v>
      </c>
      <c r="I38" s="62" t="s">
        <v>5</v>
      </c>
      <c r="J38" s="228">
        <f>SUM(J39:J63)</f>
        <v>165712.50999999998</v>
      </c>
    </row>
    <row r="39" spans="3:22" s="21" customFormat="1">
      <c r="C39" s="18" t="s">
        <v>731</v>
      </c>
      <c r="D39" s="18"/>
      <c r="E39" s="19" t="s">
        <v>35</v>
      </c>
      <c r="F39" s="20"/>
      <c r="G39" s="44"/>
      <c r="H39" s="62" t="s">
        <v>5</v>
      </c>
      <c r="I39" s="62" t="s">
        <v>5</v>
      </c>
      <c r="J39" s="62"/>
    </row>
    <row r="40" spans="3:22" ht="59.25" customHeight="1">
      <c r="C40" s="15" t="s">
        <v>749</v>
      </c>
      <c r="D40" s="15">
        <v>90843</v>
      </c>
      <c r="E40" s="22" t="s">
        <v>36</v>
      </c>
      <c r="F40" s="23" t="s">
        <v>8</v>
      </c>
      <c r="G40" s="45">
        <v>3</v>
      </c>
      <c r="H40" s="61">
        <v>777.95</v>
      </c>
      <c r="I40" s="61">
        <f t="shared" ref="I40:I41" si="17">ROUND(H40*$J$7,2)</f>
        <v>964.66</v>
      </c>
      <c r="J40" s="61">
        <f t="shared" ref="J40" si="18">ROUND(G40*I40,2)</f>
        <v>2893.98</v>
      </c>
    </row>
    <row r="41" spans="3:22" ht="57.75" customHeight="1">
      <c r="C41" s="15" t="s">
        <v>750</v>
      </c>
      <c r="D41" s="15">
        <v>90844</v>
      </c>
      <c r="E41" s="22" t="s">
        <v>37</v>
      </c>
      <c r="F41" s="23" t="s">
        <v>8</v>
      </c>
      <c r="G41" s="45">
        <v>12</v>
      </c>
      <c r="H41" s="61">
        <v>794.61</v>
      </c>
      <c r="I41" s="61">
        <f t="shared" si="17"/>
        <v>985.32</v>
      </c>
      <c r="J41" s="61">
        <f t="shared" ref="J41" si="19">ROUND(G41*I41,2)</f>
        <v>11823.84</v>
      </c>
    </row>
    <row r="42" spans="3:22" ht="21" customHeight="1">
      <c r="C42" s="15" t="s">
        <v>751</v>
      </c>
      <c r="D42" s="15" t="s">
        <v>267</v>
      </c>
      <c r="E42" s="22" t="str">
        <f>COMPOSIÇÕES!D125</f>
        <v>PORTA TIPO P1 - CONFORME PROJETO</v>
      </c>
      <c r="F42" s="23" t="s">
        <v>8</v>
      </c>
      <c r="G42" s="45">
        <v>3</v>
      </c>
      <c r="H42" s="61">
        <v>3912.36</v>
      </c>
      <c r="I42" s="61">
        <f t="shared" ref="I42" si="20">ROUND(H42*$J$7,2)</f>
        <v>4851.33</v>
      </c>
      <c r="J42" s="61">
        <f t="shared" ref="J42" si="21">ROUND(G42*I42,2)</f>
        <v>14553.99</v>
      </c>
    </row>
    <row r="43" spans="3:22" ht="21" customHeight="1">
      <c r="C43" s="15" t="s">
        <v>752</v>
      </c>
      <c r="D43" s="15" t="s">
        <v>267</v>
      </c>
      <c r="E43" s="22" t="s">
        <v>449</v>
      </c>
      <c r="F43" s="23" t="s">
        <v>8</v>
      </c>
      <c r="G43" s="45">
        <v>4</v>
      </c>
      <c r="H43" s="61">
        <v>2925.26</v>
      </c>
      <c r="I43" s="61">
        <f t="shared" ref="I43:I44" si="22">ROUND(H43*$J$7,2)</f>
        <v>3627.32</v>
      </c>
      <c r="J43" s="61">
        <f t="shared" ref="J43:J44" si="23">ROUND(G43*I43,2)</f>
        <v>14509.28</v>
      </c>
    </row>
    <row r="44" spans="3:22" ht="21" customHeight="1">
      <c r="C44" s="15" t="s">
        <v>753</v>
      </c>
      <c r="D44" s="15" t="s">
        <v>267</v>
      </c>
      <c r="E44" s="22" t="s">
        <v>450</v>
      </c>
      <c r="F44" s="23" t="s">
        <v>8</v>
      </c>
      <c r="G44" s="45">
        <v>3</v>
      </c>
      <c r="H44" s="61">
        <v>1623.28</v>
      </c>
      <c r="I44" s="61">
        <f t="shared" si="22"/>
        <v>2012.87</v>
      </c>
      <c r="J44" s="61">
        <f t="shared" si="23"/>
        <v>6038.61</v>
      </c>
    </row>
    <row r="45" spans="3:22" ht="43.5" customHeight="1">
      <c r="C45" s="15" t="s">
        <v>754</v>
      </c>
      <c r="D45" s="15" t="s">
        <v>267</v>
      </c>
      <c r="E45" s="22" t="str">
        <f>COMPOSIÇÕES!D176</f>
        <v>PORTA DE MADEIRA - P5 (CEDRINHO/ANGELIM OU EQUIV.) DE CORRER COM 2 FOLHAS, COM BATENTE, ALIZAR E FERRAGENS. ACABAMENTO E CONTRAMARCO. FORNECIMENTO E INSTALAÇÃO. AF_12/2019</v>
      </c>
      <c r="F45" s="23" t="s">
        <v>8</v>
      </c>
      <c r="G45" s="45">
        <v>1</v>
      </c>
      <c r="H45" s="61">
        <f>COMPOSIÇÕES!H184</f>
        <v>1418.3999999999999</v>
      </c>
      <c r="I45" s="61">
        <f t="shared" ref="I45:I47" si="24">ROUND(H45*$J$7,2)</f>
        <v>1758.82</v>
      </c>
      <c r="J45" s="61">
        <f t="shared" ref="J45:J47" si="25">ROUND(G45*I45,2)</f>
        <v>1758.82</v>
      </c>
    </row>
    <row r="46" spans="3:22" ht="43.5" customHeight="1">
      <c r="C46" s="15" t="s">
        <v>755</v>
      </c>
      <c r="D46" s="15" t="s">
        <v>267</v>
      </c>
      <c r="E46" s="22" t="str">
        <f>COMPOSIÇÕES!D187</f>
        <v>PORTA DE MADEIRA - P6 (CEDRINHO/ANGELIM OU EQUIV.) DE ABRIR COM 2 FOLHAS, COM BATENTE, ALIZAR E FERRAGENS. ACABAMENTO E CONTRAMARCO. FORNECIMENTO E INSTALAÇÃO. AF_12/2019</v>
      </c>
      <c r="F46" s="23" t="s">
        <v>8</v>
      </c>
      <c r="G46" s="45">
        <v>1</v>
      </c>
      <c r="H46" s="61">
        <f>COMPOSIÇÕES!H195</f>
        <v>1321.85</v>
      </c>
      <c r="I46" s="61">
        <f t="shared" si="24"/>
        <v>1639.09</v>
      </c>
      <c r="J46" s="61">
        <f t="shared" si="25"/>
        <v>1639.09</v>
      </c>
    </row>
    <row r="47" spans="3:22" ht="43.5" customHeight="1">
      <c r="C47" s="15" t="s">
        <v>756</v>
      </c>
      <c r="D47" s="15" t="s">
        <v>267</v>
      </c>
      <c r="E47" s="22" t="str">
        <f>COMPOSIÇÕES!D198</f>
        <v>PORTA DE MADEIRA - P7 (CEDRINHO/ANGELIM OU EQUIV.) DE ABRIR COM 2 FOLHAS, COM BATENTE, ALIZAR E FERRAGENS, SENDO 1 FOLHA DE CORRER E OUTRA FIXA. ACABAMENTO E CONTRAMARCO. FORNECIMENTO E INSTALAÇÃO. AF_12/2019</v>
      </c>
      <c r="F47" s="23" t="s">
        <v>8</v>
      </c>
      <c r="G47" s="45">
        <v>4</v>
      </c>
      <c r="H47" s="61">
        <f>COMPOSIÇÕES!H207</f>
        <v>1290.97</v>
      </c>
      <c r="I47" s="61">
        <f t="shared" si="24"/>
        <v>1600.8</v>
      </c>
      <c r="J47" s="61">
        <f t="shared" si="25"/>
        <v>6403.2</v>
      </c>
    </row>
    <row r="48" spans="3:22" ht="18" customHeight="1">
      <c r="C48" s="15" t="s">
        <v>757</v>
      </c>
      <c r="D48" s="15" t="s">
        <v>267</v>
      </c>
      <c r="E48" s="50" t="str">
        <f>COMPOSIÇÕES!D209</f>
        <v>PORTA DE VIDRO TEMPERADO, 0,6X1,8M, ESPESSURA 8MM, INCLUSIVE ACESSORIOS</v>
      </c>
      <c r="F48" s="51" t="s">
        <v>8</v>
      </c>
      <c r="G48" s="52">
        <v>18</v>
      </c>
      <c r="H48" s="63">
        <f>COMPOSIÇÕES!H213</f>
        <v>358.25000000000006</v>
      </c>
      <c r="I48" s="63">
        <f t="shared" ref="I48" si="26">ROUND(H48*$J$7,2)</f>
        <v>444.23</v>
      </c>
      <c r="J48" s="63">
        <f t="shared" ref="J48" si="27">ROUND(G48*I48,2)</f>
        <v>7996.14</v>
      </c>
      <c r="N48" s="291" t="s">
        <v>680</v>
      </c>
      <c r="O48" s="291"/>
    </row>
    <row r="49" spans="3:10" s="21" customFormat="1">
      <c r="C49" s="112" t="s">
        <v>732</v>
      </c>
      <c r="D49" s="18"/>
      <c r="E49" s="19" t="s">
        <v>758</v>
      </c>
      <c r="F49" s="20"/>
      <c r="G49" s="44"/>
      <c r="H49" s="62" t="s">
        <v>5</v>
      </c>
      <c r="I49" s="62" t="s">
        <v>5</v>
      </c>
      <c r="J49" s="62"/>
    </row>
    <row r="50" spans="3:10" ht="15" customHeight="1">
      <c r="C50" s="15" t="s">
        <v>759</v>
      </c>
      <c r="D50" s="15">
        <v>99855</v>
      </c>
      <c r="E50" s="22" t="s">
        <v>412</v>
      </c>
      <c r="F50" s="23" t="s">
        <v>7</v>
      </c>
      <c r="G50" s="45">
        <f>((4.73*4)+(3*2)+(3.1*2))*2</f>
        <v>62.24</v>
      </c>
      <c r="H50" s="61">
        <v>66.84</v>
      </c>
      <c r="I50" s="61">
        <f t="shared" ref="I50:I66" si="28">ROUND(H50*$J$7,2)</f>
        <v>82.88</v>
      </c>
      <c r="J50" s="61">
        <f t="shared" ref="J50" si="29">ROUND(G50*I50,2)</f>
        <v>5158.45</v>
      </c>
    </row>
    <row r="51" spans="3:10" ht="15" customHeight="1">
      <c r="C51" s="18" t="s">
        <v>733</v>
      </c>
      <c r="D51" s="18"/>
      <c r="E51" s="19" t="s">
        <v>38</v>
      </c>
      <c r="F51" s="20"/>
      <c r="G51" s="44"/>
      <c r="H51" s="62" t="s">
        <v>5</v>
      </c>
      <c r="I51" s="62" t="s">
        <v>5</v>
      </c>
      <c r="J51" s="62"/>
    </row>
    <row r="52" spans="3:10" ht="45">
      <c r="C52" s="15" t="s">
        <v>760</v>
      </c>
      <c r="D52" s="15" t="s">
        <v>267</v>
      </c>
      <c r="E52" s="22" t="s">
        <v>300</v>
      </c>
      <c r="F52" s="23" t="s">
        <v>6</v>
      </c>
      <c r="G52" s="45">
        <v>26.32</v>
      </c>
      <c r="H52" s="61">
        <v>428.67</v>
      </c>
      <c r="I52" s="61">
        <f t="shared" si="28"/>
        <v>531.54999999999995</v>
      </c>
      <c r="J52" s="61">
        <f t="shared" ref="J52" si="30">ROUND(G52*I52,2)</f>
        <v>13990.4</v>
      </c>
    </row>
    <row r="53" spans="3:10" s="21" customFormat="1" ht="45">
      <c r="C53" s="15" t="s">
        <v>761</v>
      </c>
      <c r="D53" s="15" t="s">
        <v>267</v>
      </c>
      <c r="E53" s="22" t="str">
        <f>COMPOSIÇÕES!D3</f>
        <v>JANELA DE ALUMÍNIO TIPO MAXIM-AR, J2, 4 FOLHAS, SENDO UMA FOLHA FIXA,  4,7X0,8 M, COM VIDROS TEMPERADO 8 MM, BATENTE E FERRAGENS. EXCLUSIVE ALIZAR, ACABAMENTO E CONTRAMARCO. FORNECIMENTO E INSTALAÇÃO</v>
      </c>
      <c r="F53" s="23" t="str">
        <f>COMPOSIÇÕES!E3</f>
        <v>UN</v>
      </c>
      <c r="G53" s="45">
        <v>1</v>
      </c>
      <c r="H53" s="61">
        <f>COMPOSIÇÕES!H12</f>
        <v>1200.53</v>
      </c>
      <c r="I53" s="61">
        <f t="shared" si="28"/>
        <v>1488.66</v>
      </c>
      <c r="J53" s="61">
        <f t="shared" ref="J53:J60" si="31">ROUND(G53*I53,2)</f>
        <v>1488.66</v>
      </c>
    </row>
    <row r="54" spans="3:10" ht="30" customHeight="1">
      <c r="C54" s="15" t="s">
        <v>762</v>
      </c>
      <c r="D54" s="15" t="s">
        <v>267</v>
      </c>
      <c r="E54" s="22" t="s">
        <v>301</v>
      </c>
      <c r="F54" s="23" t="s">
        <v>6</v>
      </c>
      <c r="G54" s="45">
        <v>15.05</v>
      </c>
      <c r="H54" s="61">
        <v>428.67</v>
      </c>
      <c r="I54" s="61">
        <f t="shared" si="28"/>
        <v>531.54999999999995</v>
      </c>
      <c r="J54" s="61">
        <f t="shared" si="31"/>
        <v>7999.83</v>
      </c>
    </row>
    <row r="55" spans="3:10" ht="30" customHeight="1">
      <c r="C55" s="15" t="s">
        <v>763</v>
      </c>
      <c r="D55" s="15" t="s">
        <v>267</v>
      </c>
      <c r="E55" s="22" t="s">
        <v>302</v>
      </c>
      <c r="F55" s="23" t="s">
        <v>6</v>
      </c>
      <c r="G55" s="45">
        <v>3.36</v>
      </c>
      <c r="H55" s="61">
        <v>428.67</v>
      </c>
      <c r="I55" s="61">
        <f t="shared" si="28"/>
        <v>531.54999999999995</v>
      </c>
      <c r="J55" s="61">
        <f t="shared" si="31"/>
        <v>1786.01</v>
      </c>
    </row>
    <row r="56" spans="3:10" ht="30" customHeight="1">
      <c r="C56" s="15" t="s">
        <v>764</v>
      </c>
      <c r="D56" s="15" t="s">
        <v>267</v>
      </c>
      <c r="E56" s="22" t="s">
        <v>303</v>
      </c>
      <c r="F56" s="23" t="s">
        <v>6</v>
      </c>
      <c r="G56" s="45">
        <v>4.5199999999999996</v>
      </c>
      <c r="H56" s="61">
        <v>428.67</v>
      </c>
      <c r="I56" s="61">
        <f t="shared" si="28"/>
        <v>531.54999999999995</v>
      </c>
      <c r="J56" s="61">
        <f t="shared" si="31"/>
        <v>2402.61</v>
      </c>
    </row>
    <row r="57" spans="3:10" ht="30" customHeight="1">
      <c r="C57" s="15" t="s">
        <v>765</v>
      </c>
      <c r="D57" s="15" t="s">
        <v>267</v>
      </c>
      <c r="E57" s="22" t="s">
        <v>304</v>
      </c>
      <c r="F57" s="23" t="s">
        <v>6</v>
      </c>
      <c r="G57" s="45">
        <v>1.5</v>
      </c>
      <c r="H57" s="61">
        <v>428.67</v>
      </c>
      <c r="I57" s="61">
        <f t="shared" si="28"/>
        <v>531.54999999999995</v>
      </c>
      <c r="J57" s="61">
        <f t="shared" si="31"/>
        <v>797.33</v>
      </c>
    </row>
    <row r="58" spans="3:10" ht="30" customHeight="1">
      <c r="C58" s="15" t="s">
        <v>766</v>
      </c>
      <c r="D58" s="15" t="s">
        <v>267</v>
      </c>
      <c r="E58" s="22" t="str">
        <f>COMPOSIÇÕES!D15</f>
        <v>JANELA DE ALUMÍNIO TIPO MAXIM-AR, J7, 6 FOLHAS, SENDO 3 FOLHAS FIXAS,  3,0X2,08 M, COM VIDRO TEMPERADO 8 MM, BATENTE E FERRAGENS. EXCLUSIVE ALIZAR, ACABAMENTO E CONTRAMARCO. FORNECIMENTO E INSTALAÇÃO</v>
      </c>
      <c r="F58" s="23" t="s">
        <v>8</v>
      </c>
      <c r="G58" s="45">
        <v>1</v>
      </c>
      <c r="H58" s="61">
        <f>COMPOSIÇÕES!H24</f>
        <v>2306.0299999999993</v>
      </c>
      <c r="I58" s="61">
        <f t="shared" si="28"/>
        <v>2859.48</v>
      </c>
      <c r="J58" s="61">
        <f t="shared" si="31"/>
        <v>2859.48</v>
      </c>
    </row>
    <row r="59" spans="3:10" ht="30" customHeight="1">
      <c r="C59" s="15" t="s">
        <v>767</v>
      </c>
      <c r="D59" s="15" t="s">
        <v>267</v>
      </c>
      <c r="E59" s="22" t="str">
        <f>COMPOSIÇÕES!D27</f>
        <v>JANELA DE ALUMÍNIO TIPO MAXIM-AR, J8, 9 FOLHAS, SENDO 6 FOLHAS FIXAS,  3,0X3,11 M, COM VIDRO TEMPERADO 8 MM, BATENTE E FERRAGENS. EXCLUSIVE ALIZAR, ACABAMENTO E CONTRAMARCO. FORNECIMENTO E INSTALAÇÃO</v>
      </c>
      <c r="F59" s="23" t="s">
        <v>8</v>
      </c>
      <c r="G59" s="45">
        <v>1</v>
      </c>
      <c r="H59" s="61">
        <f>COMPOSIÇÕES!H36</f>
        <v>3643.44</v>
      </c>
      <c r="I59" s="61">
        <f t="shared" si="28"/>
        <v>4517.87</v>
      </c>
      <c r="J59" s="61">
        <f t="shared" si="31"/>
        <v>4517.87</v>
      </c>
    </row>
    <row r="60" spans="3:10" ht="30" customHeight="1">
      <c r="C60" s="15" t="s">
        <v>768</v>
      </c>
      <c r="D60" s="15" t="s">
        <v>267</v>
      </c>
      <c r="E60" s="50" t="str">
        <f>COMPOSIÇÕES!D38</f>
        <v>JANELA FIXA DE ALUMÍNIO PARA VIDRO, COM VIDRO TEMPERADO  8 MM, BATENTE E FERRAGENS, ALIZAR E CONTRAMARCO. FORNECIMENTO E INSTALAÇÃO. AF_12/2019</v>
      </c>
      <c r="F60" s="51" t="s">
        <v>6</v>
      </c>
      <c r="G60" s="52">
        <f>18*7.7</f>
        <v>138.6</v>
      </c>
      <c r="H60" s="63">
        <v>310.48</v>
      </c>
      <c r="I60" s="63">
        <f t="shared" si="28"/>
        <v>385</v>
      </c>
      <c r="J60" s="63">
        <f t="shared" si="31"/>
        <v>53361</v>
      </c>
    </row>
    <row r="61" spans="3:10" ht="18.75" customHeight="1">
      <c r="C61" s="18" t="s">
        <v>734</v>
      </c>
      <c r="D61" s="18"/>
      <c r="E61" s="19" t="s">
        <v>39</v>
      </c>
      <c r="F61" s="20"/>
      <c r="G61" s="44"/>
      <c r="H61" s="62" t="s">
        <v>5</v>
      </c>
      <c r="I61" s="62" t="s">
        <v>5</v>
      </c>
      <c r="J61" s="62"/>
    </row>
    <row r="62" spans="3:10" ht="30" customHeight="1">
      <c r="C62" s="15" t="s">
        <v>769</v>
      </c>
      <c r="D62" s="15">
        <v>90830</v>
      </c>
      <c r="E62" s="22" t="s">
        <v>40</v>
      </c>
      <c r="F62" s="23" t="s">
        <v>8</v>
      </c>
      <c r="G62" s="45">
        <f>G42+G43+G44+G45+G46+G47</f>
        <v>16</v>
      </c>
      <c r="H62" s="61">
        <v>100.02</v>
      </c>
      <c r="I62" s="61">
        <f t="shared" si="28"/>
        <v>124.02</v>
      </c>
      <c r="J62" s="61">
        <f t="shared" ref="J62:J66" si="32">ROUND(G62*I62,2)</f>
        <v>1984.32</v>
      </c>
    </row>
    <row r="63" spans="3:10" s="21" customFormat="1" ht="30">
      <c r="C63" s="15" t="s">
        <v>770</v>
      </c>
      <c r="D63" s="15">
        <v>90831</v>
      </c>
      <c r="E63" s="22" t="s">
        <v>41</v>
      </c>
      <c r="F63" s="23" t="s">
        <v>8</v>
      </c>
      <c r="G63" s="45">
        <v>18</v>
      </c>
      <c r="H63" s="61">
        <v>78.39</v>
      </c>
      <c r="I63" s="61">
        <f t="shared" si="28"/>
        <v>97.2</v>
      </c>
      <c r="J63" s="61">
        <f t="shared" si="32"/>
        <v>1749.6</v>
      </c>
    </row>
    <row r="64" spans="3:10" ht="22.5" customHeight="1">
      <c r="C64" s="112" t="s">
        <v>771</v>
      </c>
      <c r="D64" s="112"/>
      <c r="E64" s="19" t="s">
        <v>677</v>
      </c>
      <c r="F64" s="17"/>
      <c r="G64" s="46"/>
      <c r="H64" s="64"/>
      <c r="I64" s="64"/>
      <c r="J64" s="228">
        <f>SUM(J65:J66)</f>
        <v>201926.46333333335</v>
      </c>
    </row>
    <row r="65" spans="3:10" ht="30" customHeight="1">
      <c r="C65" s="15" t="s">
        <v>772</v>
      </c>
      <c r="D65" s="15" t="s">
        <v>267</v>
      </c>
      <c r="E65" s="110" t="str">
        <f>'COMP. SG.'!B8</f>
        <v>FABRICAÇÃO, TRANSPORTE E INSTALAÇÃO DE ESTRUTURA COMPLETA PARA FACHADA EM STRUCTURAL GLAZING E CHAPAS DE ACM. DEVERÃO SER FORNECIDOS E INSTALADOS TODOS OS VIDROS DO TIPO LAMINADO ESPELHADO CONFORME ESPECIFICAÇÕES DE PROJETO E ATENDENDO AS NORMAS NBR 6123 E NBR 10821.</v>
      </c>
      <c r="F65" s="23" t="s">
        <v>8</v>
      </c>
      <c r="G65" s="45">
        <v>1</v>
      </c>
      <c r="H65" s="111">
        <f>'COMP. SG.'!H9</f>
        <v>195518.33333333334</v>
      </c>
      <c r="I65" s="61" t="s">
        <v>676</v>
      </c>
      <c r="J65" s="61">
        <f>H65</f>
        <v>195518.33333333334</v>
      </c>
    </row>
    <row r="66" spans="3:10">
      <c r="C66" s="15" t="s">
        <v>773</v>
      </c>
      <c r="D66" s="15" t="s">
        <v>679</v>
      </c>
      <c r="E66" s="110" t="s">
        <v>678</v>
      </c>
      <c r="F66" s="23" t="s">
        <v>8</v>
      </c>
      <c r="G66" s="45">
        <v>29</v>
      </c>
      <c r="H66" s="111">
        <v>178.2</v>
      </c>
      <c r="I66" s="61">
        <f t="shared" si="28"/>
        <v>220.97</v>
      </c>
      <c r="J66" s="61">
        <f t="shared" si="32"/>
        <v>6408.13</v>
      </c>
    </row>
    <row r="67" spans="3:10">
      <c r="C67" s="112" t="s">
        <v>774</v>
      </c>
      <c r="D67" s="112"/>
      <c r="E67" s="19" t="s">
        <v>681</v>
      </c>
      <c r="F67" s="17"/>
      <c r="G67" s="46"/>
      <c r="H67" s="64"/>
      <c r="I67" s="64"/>
      <c r="J67" s="228">
        <f>SUM(J68)</f>
        <v>90992.596666666665</v>
      </c>
    </row>
    <row r="68" spans="3:10" ht="240">
      <c r="C68" s="15" t="s">
        <v>775</v>
      </c>
      <c r="D68" s="15" t="s">
        <v>267</v>
      </c>
      <c r="E68" s="22" t="s">
        <v>682</v>
      </c>
      <c r="F68" s="23" t="s">
        <v>8</v>
      </c>
      <c r="G68" s="45">
        <v>1</v>
      </c>
      <c r="H68" s="61">
        <f>'COMP. ELEV.'!G10</f>
        <v>90992.596666666665</v>
      </c>
      <c r="I68" s="61" t="s">
        <v>676</v>
      </c>
      <c r="J68" s="61">
        <f>H68</f>
        <v>90992.596666666665</v>
      </c>
    </row>
    <row r="69" spans="3:10" s="21" customFormat="1">
      <c r="C69" s="18" t="s">
        <v>261</v>
      </c>
      <c r="D69" s="18"/>
      <c r="E69" s="19" t="s">
        <v>43</v>
      </c>
      <c r="F69" s="20"/>
      <c r="G69" s="44"/>
      <c r="H69" s="62"/>
      <c r="I69" s="62"/>
      <c r="J69" s="228">
        <f>SUM(J71:J134)</f>
        <v>217834.27999999994</v>
      </c>
    </row>
    <row r="70" spans="3:10" s="21" customFormat="1">
      <c r="C70" s="18" t="s">
        <v>776</v>
      </c>
      <c r="D70" s="18"/>
      <c r="E70" s="19" t="s">
        <v>44</v>
      </c>
      <c r="F70" s="20"/>
      <c r="G70" s="44"/>
      <c r="H70" s="62"/>
      <c r="I70" s="62"/>
      <c r="J70" s="62"/>
    </row>
    <row r="71" spans="3:10" ht="30" customHeight="1">
      <c r="C71" s="15" t="s">
        <v>777</v>
      </c>
      <c r="D71" s="15" t="s">
        <v>267</v>
      </c>
      <c r="E71" s="22" t="s">
        <v>551</v>
      </c>
      <c r="F71" s="23" t="s">
        <v>8</v>
      </c>
      <c r="G71" s="45">
        <v>1</v>
      </c>
      <c r="H71" s="61">
        <v>2769.52</v>
      </c>
      <c r="I71" s="61">
        <f t="shared" ref="I71" si="33">ROUND(H71*$J$7,2)</f>
        <v>3434.2</v>
      </c>
      <c r="J71" s="61">
        <f t="shared" ref="J71" si="34">ROUND(G71*I71,2)</f>
        <v>3434.2</v>
      </c>
    </row>
    <row r="72" spans="3:10" ht="23.25" customHeight="1">
      <c r="C72" s="15" t="s">
        <v>778</v>
      </c>
      <c r="D72" s="15">
        <v>5056</v>
      </c>
      <c r="E72" s="22" t="s">
        <v>534</v>
      </c>
      <c r="F72" s="23" t="s">
        <v>8</v>
      </c>
      <c r="G72" s="45">
        <v>2</v>
      </c>
      <c r="H72" s="61">
        <v>779.25</v>
      </c>
      <c r="I72" s="61">
        <f t="shared" ref="I72" si="35">ROUND(H72*$J$7,2)</f>
        <v>966.27</v>
      </c>
      <c r="J72" s="61">
        <f t="shared" ref="J72" si="36">ROUND(G72*I72,2)</f>
        <v>1932.54</v>
      </c>
    </row>
    <row r="73" spans="3:10" ht="30" customHeight="1">
      <c r="C73" s="15" t="s">
        <v>779</v>
      </c>
      <c r="D73" s="15">
        <v>100578</v>
      </c>
      <c r="E73" s="22" t="s">
        <v>533</v>
      </c>
      <c r="F73" s="23" t="s">
        <v>8</v>
      </c>
      <c r="G73" s="45">
        <v>2</v>
      </c>
      <c r="H73" s="61">
        <v>261.27</v>
      </c>
      <c r="I73" s="61">
        <f t="shared" ref="I73" si="37">ROUND(H73*$J$7,2)</f>
        <v>323.97000000000003</v>
      </c>
      <c r="J73" s="61">
        <f t="shared" ref="J73:J83" si="38">ROUND(G73*I73,2)</f>
        <v>647.94000000000005</v>
      </c>
    </row>
    <row r="74" spans="3:10" ht="18.75" customHeight="1">
      <c r="C74" s="15" t="s">
        <v>780</v>
      </c>
      <c r="D74" s="15">
        <v>73624</v>
      </c>
      <c r="E74" s="22" t="s">
        <v>408</v>
      </c>
      <c r="F74" s="23" t="s">
        <v>8</v>
      </c>
      <c r="G74" s="45">
        <v>1</v>
      </c>
      <c r="H74" s="61">
        <v>83.28</v>
      </c>
      <c r="I74" s="61">
        <f t="shared" ref="I74:I75" si="39">ROUND(H74*$J$7,2)</f>
        <v>103.27</v>
      </c>
      <c r="J74" s="61">
        <f t="shared" ref="J74:J75" si="40">ROUND(G74*I74,2)</f>
        <v>103.27</v>
      </c>
    </row>
    <row r="75" spans="3:10" ht="30" customHeight="1">
      <c r="C75" s="15" t="s">
        <v>781</v>
      </c>
      <c r="D75" s="15" t="s">
        <v>406</v>
      </c>
      <c r="E75" s="22" t="s">
        <v>407</v>
      </c>
      <c r="F75" s="23" t="s">
        <v>8</v>
      </c>
      <c r="G75" s="45">
        <v>1</v>
      </c>
      <c r="H75" s="61">
        <v>12524.82</v>
      </c>
      <c r="I75" s="61">
        <f t="shared" si="39"/>
        <v>15530.78</v>
      </c>
      <c r="J75" s="61">
        <f t="shared" si="40"/>
        <v>15530.78</v>
      </c>
    </row>
    <row r="76" spans="3:10" s="21" customFormat="1">
      <c r="C76" s="18" t="s">
        <v>782</v>
      </c>
      <c r="D76" s="18"/>
      <c r="E76" s="19" t="s">
        <v>45</v>
      </c>
      <c r="F76" s="20"/>
      <c r="G76" s="44"/>
      <c r="H76" s="62"/>
      <c r="I76" s="62"/>
      <c r="J76" s="62"/>
    </row>
    <row r="77" spans="3:10" ht="30" customHeight="1">
      <c r="C77" s="15" t="s">
        <v>783</v>
      </c>
      <c r="D77" s="15">
        <v>91854</v>
      </c>
      <c r="E77" s="22" t="s">
        <v>46</v>
      </c>
      <c r="F77" s="23" t="s">
        <v>7</v>
      </c>
      <c r="G77" s="45">
        <f>367.2+494+403+63.4</f>
        <v>1327.6000000000001</v>
      </c>
      <c r="H77" s="61">
        <v>7.36</v>
      </c>
      <c r="I77" s="61">
        <f t="shared" ref="I77:I84" si="41">ROUND(H77*$J$7,2)</f>
        <v>9.1300000000000008</v>
      </c>
      <c r="J77" s="61">
        <f t="shared" si="38"/>
        <v>12120.99</v>
      </c>
    </row>
    <row r="78" spans="3:10" ht="30" customHeight="1">
      <c r="C78" s="15" t="s">
        <v>784</v>
      </c>
      <c r="D78" s="15">
        <v>91836</v>
      </c>
      <c r="E78" s="22" t="s">
        <v>47</v>
      </c>
      <c r="F78" s="23" t="s">
        <v>7</v>
      </c>
      <c r="G78" s="45">
        <f>103.2+73.5+82.7+81.55</f>
        <v>340.95</v>
      </c>
      <c r="H78" s="61">
        <v>8.85</v>
      </c>
      <c r="I78" s="61">
        <f t="shared" si="41"/>
        <v>10.97</v>
      </c>
      <c r="J78" s="61">
        <f t="shared" si="38"/>
        <v>3740.22</v>
      </c>
    </row>
    <row r="79" spans="3:10" s="21" customFormat="1">
      <c r="C79" s="18" t="s">
        <v>785</v>
      </c>
      <c r="D79" s="18"/>
      <c r="E79" s="19" t="s">
        <v>48</v>
      </c>
      <c r="F79" s="20"/>
      <c r="G79" s="44"/>
      <c r="H79" s="62"/>
      <c r="I79" s="62"/>
      <c r="J79" s="62"/>
    </row>
    <row r="80" spans="3:10" ht="30" customHeight="1">
      <c r="C80" s="15" t="s">
        <v>786</v>
      </c>
      <c r="D80" s="15">
        <v>91871</v>
      </c>
      <c r="E80" s="22" t="s">
        <v>49</v>
      </c>
      <c r="F80" s="23" t="s">
        <v>7</v>
      </c>
      <c r="G80" s="45">
        <v>6</v>
      </c>
      <c r="H80" s="61">
        <v>9.83</v>
      </c>
      <c r="I80" s="61">
        <f t="shared" si="41"/>
        <v>12.19</v>
      </c>
      <c r="J80" s="61">
        <f t="shared" si="38"/>
        <v>73.14</v>
      </c>
    </row>
    <row r="81" spans="3:10" ht="30" customHeight="1">
      <c r="C81" s="15" t="s">
        <v>787</v>
      </c>
      <c r="D81" s="15">
        <v>93010</v>
      </c>
      <c r="E81" s="22" t="s">
        <v>50</v>
      </c>
      <c r="F81" s="23" t="s">
        <v>7</v>
      </c>
      <c r="G81" s="45">
        <v>4</v>
      </c>
      <c r="H81" s="61">
        <v>24.07</v>
      </c>
      <c r="I81" s="61">
        <f t="shared" si="41"/>
        <v>29.85</v>
      </c>
      <c r="J81" s="61">
        <f t="shared" si="38"/>
        <v>119.4</v>
      </c>
    </row>
    <row r="82" spans="3:10" s="21" customFormat="1">
      <c r="C82" s="18" t="s">
        <v>788</v>
      </c>
      <c r="D82" s="18"/>
      <c r="E82" s="19" t="s">
        <v>51</v>
      </c>
      <c r="F82" s="20"/>
      <c r="G82" s="44"/>
      <c r="H82" s="62"/>
      <c r="I82" s="62"/>
      <c r="J82" s="62"/>
    </row>
    <row r="83" spans="3:10" ht="30" customHeight="1">
      <c r="C83" s="15" t="s">
        <v>789</v>
      </c>
      <c r="D83" s="15" t="s">
        <v>52</v>
      </c>
      <c r="E83" s="22" t="s">
        <v>53</v>
      </c>
      <c r="F83" s="23" t="s">
        <v>7</v>
      </c>
      <c r="G83" s="45">
        <v>19.899999999999999</v>
      </c>
      <c r="H83" s="61">
        <v>39.32</v>
      </c>
      <c r="I83" s="61">
        <f t="shared" si="41"/>
        <v>48.76</v>
      </c>
      <c r="J83" s="61">
        <f t="shared" si="38"/>
        <v>970.32</v>
      </c>
    </row>
    <row r="84" spans="3:10" ht="30" customHeight="1">
      <c r="C84" s="15" t="s">
        <v>790</v>
      </c>
      <c r="D84" s="15">
        <v>97667</v>
      </c>
      <c r="E84" s="22" t="s">
        <v>54</v>
      </c>
      <c r="F84" s="23" t="s">
        <v>7</v>
      </c>
      <c r="G84" s="45">
        <f>61.9+38+46.1+14.7+22+4.3+0.1</f>
        <v>187.1</v>
      </c>
      <c r="H84" s="61">
        <v>6.44</v>
      </c>
      <c r="I84" s="61">
        <f t="shared" si="41"/>
        <v>7.99</v>
      </c>
      <c r="J84" s="61">
        <f t="shared" ref="J84:J86" si="42">ROUND(G84*I84,2)</f>
        <v>1494.93</v>
      </c>
    </row>
    <row r="85" spans="3:10" s="21" customFormat="1">
      <c r="C85" s="18" t="s">
        <v>791</v>
      </c>
      <c r="D85" s="18"/>
      <c r="E85" s="19" t="s">
        <v>55</v>
      </c>
      <c r="F85" s="20"/>
      <c r="G85" s="44"/>
      <c r="H85" s="62"/>
      <c r="I85" s="62"/>
      <c r="J85" s="62"/>
    </row>
    <row r="86" spans="3:10" ht="30" customHeight="1">
      <c r="C86" s="15" t="s">
        <v>792</v>
      </c>
      <c r="D86" s="15">
        <v>93013</v>
      </c>
      <c r="E86" s="22" t="s">
        <v>56</v>
      </c>
      <c r="F86" s="23" t="s">
        <v>8</v>
      </c>
      <c r="G86" s="45">
        <v>2</v>
      </c>
      <c r="H86" s="61">
        <v>11.91</v>
      </c>
      <c r="I86" s="61">
        <f t="shared" ref="I86" si="43">ROUND(H86*$J$7,2)</f>
        <v>14.77</v>
      </c>
      <c r="J86" s="61">
        <f t="shared" si="42"/>
        <v>29.54</v>
      </c>
    </row>
    <row r="87" spans="3:10" s="21" customFormat="1">
      <c r="C87" s="18" t="s">
        <v>794</v>
      </c>
      <c r="D87" s="18"/>
      <c r="E87" s="19" t="s">
        <v>793</v>
      </c>
      <c r="F87" s="20"/>
      <c r="G87" s="44"/>
      <c r="H87" s="62"/>
      <c r="I87" s="62"/>
      <c r="J87" s="62"/>
    </row>
    <row r="88" spans="3:10" ht="30" customHeight="1">
      <c r="C88" s="15" t="s">
        <v>795</v>
      </c>
      <c r="D88" s="15">
        <v>91927</v>
      </c>
      <c r="E88" s="22" t="s">
        <v>57</v>
      </c>
      <c r="F88" s="23" t="s">
        <v>7</v>
      </c>
      <c r="G88" s="45">
        <f>65.2+206.7+120+115.1+20+25+45.8+192.1+139.9+79+6.3+12.9+109.4+208.6+122.2+121.3+18.9+81.1</f>
        <v>1689.5</v>
      </c>
      <c r="H88" s="61">
        <v>3.17</v>
      </c>
      <c r="I88" s="61">
        <f t="shared" ref="I88:I95" si="44">ROUND(H88*$J$7,2)</f>
        <v>3.93</v>
      </c>
      <c r="J88" s="61">
        <f t="shared" ref="J88:J95" si="45">ROUND(G88*I88,2)</f>
        <v>6639.74</v>
      </c>
    </row>
    <row r="89" spans="3:10" ht="30" customHeight="1">
      <c r="C89" s="15" t="s">
        <v>797</v>
      </c>
      <c r="D89" s="15">
        <v>91929</v>
      </c>
      <c r="E89" s="22" t="s">
        <v>58</v>
      </c>
      <c r="F89" s="23" t="s">
        <v>7</v>
      </c>
      <c r="G89" s="45">
        <f>61.7+94.9+20.7+33.2+130.3+105.2+34.2+25.1+178.6+175.5+44.1+49.7+266.9+56.5+88.9+245+121.5</f>
        <v>1732</v>
      </c>
      <c r="H89" s="61">
        <v>4.42</v>
      </c>
      <c r="I89" s="61">
        <f t="shared" si="44"/>
        <v>5.48</v>
      </c>
      <c r="J89" s="61">
        <f t="shared" si="45"/>
        <v>9491.36</v>
      </c>
    </row>
    <row r="90" spans="3:10" ht="30" customHeight="1">
      <c r="C90" s="15" t="s">
        <v>798</v>
      </c>
      <c r="D90" s="15">
        <v>91931</v>
      </c>
      <c r="E90" s="22" t="s">
        <v>59</v>
      </c>
      <c r="F90" s="23" t="s">
        <v>7</v>
      </c>
      <c r="G90" s="45">
        <f>373.5+277.5+96+275.6+198.8+153.5+312.2+96.2</f>
        <v>1783.3000000000002</v>
      </c>
      <c r="H90" s="61">
        <v>5.94</v>
      </c>
      <c r="I90" s="61">
        <f t="shared" si="44"/>
        <v>7.37</v>
      </c>
      <c r="J90" s="61">
        <f t="shared" si="45"/>
        <v>13142.92</v>
      </c>
    </row>
    <row r="91" spans="3:10" ht="30" customHeight="1">
      <c r="C91" s="15" t="s">
        <v>799</v>
      </c>
      <c r="D91" s="15">
        <v>91933</v>
      </c>
      <c r="E91" s="22" t="s">
        <v>60</v>
      </c>
      <c r="F91" s="23" t="s">
        <v>7</v>
      </c>
      <c r="G91" s="45">
        <f>(70*4)+(7.2*3)</f>
        <v>301.60000000000002</v>
      </c>
      <c r="H91" s="61">
        <v>9.25</v>
      </c>
      <c r="I91" s="61">
        <f t="shared" si="44"/>
        <v>11.47</v>
      </c>
      <c r="J91" s="61">
        <f t="shared" si="45"/>
        <v>3459.35</v>
      </c>
    </row>
    <row r="92" spans="3:10" ht="30" customHeight="1">
      <c r="C92" s="15" t="s">
        <v>800</v>
      </c>
      <c r="D92" s="15">
        <v>91935</v>
      </c>
      <c r="E92" s="22" t="s">
        <v>61</v>
      </c>
      <c r="F92" s="23" t="s">
        <v>7</v>
      </c>
      <c r="G92" s="45">
        <f>(70*4)+(48.9*3)+29.8</f>
        <v>456.5</v>
      </c>
      <c r="H92" s="61">
        <v>14.06</v>
      </c>
      <c r="I92" s="61">
        <f t="shared" si="44"/>
        <v>17.43</v>
      </c>
      <c r="J92" s="61">
        <f t="shared" si="45"/>
        <v>7956.8</v>
      </c>
    </row>
    <row r="93" spans="3:10" ht="30" customHeight="1">
      <c r="C93" s="15" t="s">
        <v>801</v>
      </c>
      <c r="D93" s="15">
        <v>92986</v>
      </c>
      <c r="E93" s="22" t="s">
        <v>62</v>
      </c>
      <c r="F93" s="23" t="s">
        <v>7</v>
      </c>
      <c r="G93" s="45">
        <f>20+29.8+29.8</f>
        <v>79.599999999999994</v>
      </c>
      <c r="H93" s="61">
        <v>19.850000000000001</v>
      </c>
      <c r="I93" s="61">
        <f t="shared" si="44"/>
        <v>24.61</v>
      </c>
      <c r="J93" s="61">
        <f t="shared" si="45"/>
        <v>1958.96</v>
      </c>
    </row>
    <row r="94" spans="3:10" ht="30" customHeight="1">
      <c r="C94" s="15" t="s">
        <v>802</v>
      </c>
      <c r="D94" s="15">
        <v>92990</v>
      </c>
      <c r="E94" s="22" t="s">
        <v>63</v>
      </c>
      <c r="F94" s="23" t="s">
        <v>7</v>
      </c>
      <c r="G94" s="45">
        <v>80</v>
      </c>
      <c r="H94" s="61">
        <v>37.61</v>
      </c>
      <c r="I94" s="61">
        <f t="shared" si="44"/>
        <v>46.64</v>
      </c>
      <c r="J94" s="61">
        <f t="shared" si="45"/>
        <v>3731.2</v>
      </c>
    </row>
    <row r="95" spans="3:10" ht="30" customHeight="1">
      <c r="C95" s="15" t="s">
        <v>803</v>
      </c>
      <c r="D95" s="15">
        <v>92994</v>
      </c>
      <c r="E95" s="22" t="s">
        <v>64</v>
      </c>
      <c r="F95" s="23" t="s">
        <v>7</v>
      </c>
      <c r="G95" s="45">
        <f>90*4</f>
        <v>360</v>
      </c>
      <c r="H95" s="61">
        <v>63.87</v>
      </c>
      <c r="I95" s="61">
        <f t="shared" si="44"/>
        <v>79.2</v>
      </c>
      <c r="J95" s="61">
        <f t="shared" si="45"/>
        <v>28512</v>
      </c>
    </row>
    <row r="96" spans="3:10" s="21" customFormat="1">
      <c r="C96" s="18" t="s">
        <v>804</v>
      </c>
      <c r="D96" s="18"/>
      <c r="E96" s="19" t="s">
        <v>65</v>
      </c>
      <c r="F96" s="20"/>
      <c r="G96" s="44"/>
      <c r="H96" s="62"/>
      <c r="I96" s="62"/>
      <c r="J96" s="62"/>
    </row>
    <row r="97" spans="3:11" ht="30" customHeight="1">
      <c r="C97" s="15" t="s">
        <v>805</v>
      </c>
      <c r="D97" s="15">
        <v>91937</v>
      </c>
      <c r="E97" s="22" t="s">
        <v>66</v>
      </c>
      <c r="F97" s="23" t="s">
        <v>8</v>
      </c>
      <c r="G97" s="45">
        <f>58+59+54+4</f>
        <v>175</v>
      </c>
      <c r="H97" s="61">
        <v>9.24</v>
      </c>
      <c r="I97" s="61">
        <f t="shared" ref="I97:I102" si="46">ROUND(H97*$J$7,2)</f>
        <v>11.46</v>
      </c>
      <c r="J97" s="61">
        <f t="shared" ref="J97:J102" si="47">ROUND(G97*I97,2)</f>
        <v>2005.5</v>
      </c>
    </row>
    <row r="98" spans="3:11" ht="30" customHeight="1">
      <c r="C98" s="15" t="s">
        <v>806</v>
      </c>
      <c r="D98" s="15">
        <v>91940</v>
      </c>
      <c r="E98" s="22" t="s">
        <v>67</v>
      </c>
      <c r="F98" s="23" t="s">
        <v>8</v>
      </c>
      <c r="G98" s="45">
        <f>52+41+63+4+1+7+2</f>
        <v>170</v>
      </c>
      <c r="H98" s="61">
        <v>12.23</v>
      </c>
      <c r="I98" s="61">
        <f t="shared" si="46"/>
        <v>15.17</v>
      </c>
      <c r="J98" s="61">
        <f t="shared" si="47"/>
        <v>2578.9</v>
      </c>
    </row>
    <row r="99" spans="3:11" ht="30" customHeight="1">
      <c r="C99" s="15" t="s">
        <v>807</v>
      </c>
      <c r="D99" s="15">
        <v>91943</v>
      </c>
      <c r="E99" s="22" t="s">
        <v>68</v>
      </c>
      <c r="F99" s="23" t="s">
        <v>8</v>
      </c>
      <c r="G99" s="45">
        <v>9</v>
      </c>
      <c r="H99" s="61">
        <v>15.74</v>
      </c>
      <c r="I99" s="61">
        <f t="shared" si="46"/>
        <v>19.52</v>
      </c>
      <c r="J99" s="61">
        <f t="shared" si="47"/>
        <v>175.68</v>
      </c>
    </row>
    <row r="100" spans="3:11" ht="30" customHeight="1">
      <c r="C100" s="15" t="s">
        <v>808</v>
      </c>
      <c r="D100" s="15">
        <v>92868</v>
      </c>
      <c r="E100" s="22" t="s">
        <v>69</v>
      </c>
      <c r="F100" s="23" t="s">
        <v>8</v>
      </c>
      <c r="G100" s="45">
        <f>33+100+12+29+98+5</f>
        <v>277</v>
      </c>
      <c r="H100" s="61">
        <v>11.14</v>
      </c>
      <c r="I100" s="61">
        <f t="shared" si="46"/>
        <v>13.81</v>
      </c>
      <c r="J100" s="61">
        <f t="shared" si="47"/>
        <v>3825.37</v>
      </c>
    </row>
    <row r="101" spans="3:11" ht="30" customHeight="1">
      <c r="C101" s="15" t="s">
        <v>809</v>
      </c>
      <c r="D101" s="15">
        <v>92871</v>
      </c>
      <c r="E101" s="22" t="s">
        <v>70</v>
      </c>
      <c r="F101" s="23" t="s">
        <v>8</v>
      </c>
      <c r="G101" s="45">
        <f>5+7+12+1</f>
        <v>25</v>
      </c>
      <c r="H101" s="61">
        <v>13.67</v>
      </c>
      <c r="I101" s="61">
        <f t="shared" si="46"/>
        <v>16.95</v>
      </c>
      <c r="J101" s="61">
        <f t="shared" si="47"/>
        <v>423.75</v>
      </c>
      <c r="K101" s="3" t="s">
        <v>381</v>
      </c>
    </row>
    <row r="102" spans="3:11" ht="30" customHeight="1">
      <c r="C102" s="15" t="s">
        <v>810</v>
      </c>
      <c r="D102" s="15">
        <v>97887</v>
      </c>
      <c r="E102" s="22" t="s">
        <v>71</v>
      </c>
      <c r="F102" s="23" t="s">
        <v>8</v>
      </c>
      <c r="G102" s="45">
        <v>1</v>
      </c>
      <c r="H102" s="61">
        <v>202.21</v>
      </c>
      <c r="I102" s="61">
        <f t="shared" si="46"/>
        <v>250.74</v>
      </c>
      <c r="J102" s="61">
        <f t="shared" si="47"/>
        <v>250.74</v>
      </c>
    </row>
    <row r="103" spans="3:11" s="21" customFormat="1">
      <c r="C103" s="18" t="s">
        <v>811</v>
      </c>
      <c r="D103" s="18"/>
      <c r="E103" s="19" t="s">
        <v>72</v>
      </c>
      <c r="F103" s="20"/>
      <c r="G103" s="44"/>
      <c r="H103" s="62"/>
      <c r="I103" s="62"/>
      <c r="J103" s="62"/>
    </row>
    <row r="104" spans="3:11" ht="45" customHeight="1">
      <c r="C104" s="15" t="s">
        <v>812</v>
      </c>
      <c r="D104" s="15">
        <v>83463</v>
      </c>
      <c r="E104" s="22" t="s">
        <v>73</v>
      </c>
      <c r="F104" s="23" t="s">
        <v>8</v>
      </c>
      <c r="G104" s="45">
        <v>1</v>
      </c>
      <c r="H104" s="61">
        <v>277.69</v>
      </c>
      <c r="I104" s="61">
        <f>ROUND(H104*$J$7,2)</f>
        <v>344.34</v>
      </c>
      <c r="J104" s="61">
        <f t="shared" ref="J104:J122" si="48">ROUND(G104*I104,2)</f>
        <v>344.34</v>
      </c>
    </row>
    <row r="105" spans="3:11" ht="45" customHeight="1">
      <c r="C105" s="15" t="s">
        <v>813</v>
      </c>
      <c r="D105" s="15" t="s">
        <v>74</v>
      </c>
      <c r="E105" s="22" t="s">
        <v>75</v>
      </c>
      <c r="F105" s="23" t="s">
        <v>8</v>
      </c>
      <c r="G105" s="45">
        <f>1+1+1</f>
        <v>3</v>
      </c>
      <c r="H105" s="61">
        <v>649.87</v>
      </c>
      <c r="I105" s="61">
        <f>ROUND(H105*$J$7,2)</f>
        <v>805.84</v>
      </c>
      <c r="J105" s="61">
        <f t="shared" si="48"/>
        <v>2417.52</v>
      </c>
    </row>
    <row r="106" spans="3:11" s="21" customFormat="1">
      <c r="C106" s="18" t="s">
        <v>814</v>
      </c>
      <c r="D106" s="18"/>
      <c r="E106" s="19" t="s">
        <v>815</v>
      </c>
      <c r="F106" s="20"/>
      <c r="G106" s="44"/>
      <c r="H106" s="62"/>
      <c r="I106" s="62"/>
      <c r="J106" s="62"/>
    </row>
    <row r="107" spans="3:11" ht="30" customHeight="1">
      <c r="C107" s="15" t="s">
        <v>816</v>
      </c>
      <c r="D107" s="15">
        <v>93655</v>
      </c>
      <c r="E107" s="22" t="s">
        <v>76</v>
      </c>
      <c r="F107" s="23" t="s">
        <v>8</v>
      </c>
      <c r="G107" s="45">
        <f>4+4+3</f>
        <v>11</v>
      </c>
      <c r="H107" s="61">
        <v>12.78</v>
      </c>
      <c r="I107" s="61">
        <f t="shared" ref="I107:I122" si="49">ROUND(H107*$J$7,2)</f>
        <v>15.85</v>
      </c>
      <c r="J107" s="61">
        <f t="shared" si="48"/>
        <v>174.35</v>
      </c>
    </row>
    <row r="108" spans="3:11" ht="30" customHeight="1">
      <c r="C108" s="15" t="s">
        <v>817</v>
      </c>
      <c r="D108" s="15">
        <v>93656</v>
      </c>
      <c r="E108" s="22" t="s">
        <v>77</v>
      </c>
      <c r="F108" s="23" t="s">
        <v>8</v>
      </c>
      <c r="G108" s="45">
        <v>2</v>
      </c>
      <c r="H108" s="61">
        <v>12.78</v>
      </c>
      <c r="I108" s="61">
        <f t="shared" si="49"/>
        <v>15.85</v>
      </c>
      <c r="J108" s="61">
        <f t="shared" si="48"/>
        <v>31.7</v>
      </c>
    </row>
    <row r="109" spans="3:11" ht="30" customHeight="1">
      <c r="C109" s="15" t="s">
        <v>819</v>
      </c>
      <c r="D109" s="15">
        <v>93657</v>
      </c>
      <c r="E109" s="22" t="s">
        <v>78</v>
      </c>
      <c r="F109" s="23" t="s">
        <v>8</v>
      </c>
      <c r="G109" s="45">
        <f>10+8+3</f>
        <v>21</v>
      </c>
      <c r="H109" s="61">
        <v>13.93</v>
      </c>
      <c r="I109" s="61">
        <f t="shared" si="49"/>
        <v>17.27</v>
      </c>
      <c r="J109" s="61">
        <f t="shared" si="48"/>
        <v>362.67</v>
      </c>
    </row>
    <row r="110" spans="3:11" ht="30" customHeight="1">
      <c r="C110" s="15" t="s">
        <v>818</v>
      </c>
      <c r="D110" s="15">
        <v>93658</v>
      </c>
      <c r="E110" s="22" t="str">
        <f>COMPOSIÇÕES!D221</f>
        <v>DISJUNTOR MONOPOLAR TIPO DIN, CORRENTE NOMINAL DE 63A - FORNECIMENTO E INSTALAÇÃO. AF_04/2016</v>
      </c>
      <c r="F110" s="23" t="s">
        <v>8</v>
      </c>
      <c r="G110" s="45">
        <v>2</v>
      </c>
      <c r="H110" s="61">
        <v>33.1</v>
      </c>
      <c r="I110" s="61">
        <f t="shared" si="49"/>
        <v>41.04</v>
      </c>
      <c r="J110" s="61">
        <f t="shared" si="48"/>
        <v>82.08</v>
      </c>
    </row>
    <row r="111" spans="3:11" ht="30" customHeight="1">
      <c r="C111" s="15" t="s">
        <v>820</v>
      </c>
      <c r="D111" s="15">
        <v>93659</v>
      </c>
      <c r="E111" s="22" t="s">
        <v>539</v>
      </c>
      <c r="F111" s="23" t="s">
        <v>8</v>
      </c>
      <c r="G111" s="45">
        <v>1</v>
      </c>
      <c r="H111" s="61">
        <v>48.09</v>
      </c>
      <c r="I111" s="61">
        <f t="shared" si="49"/>
        <v>59.63</v>
      </c>
      <c r="J111" s="61">
        <f t="shared" si="48"/>
        <v>59.63</v>
      </c>
    </row>
    <row r="112" spans="3:11" s="21" customFormat="1">
      <c r="C112" s="18" t="s">
        <v>821</v>
      </c>
      <c r="D112" s="18"/>
      <c r="E112" s="19" t="s">
        <v>822</v>
      </c>
      <c r="F112" s="20"/>
      <c r="G112" s="44"/>
      <c r="H112" s="62"/>
      <c r="I112" s="62"/>
      <c r="J112" s="62"/>
    </row>
    <row r="113" spans="3:10" ht="30" customHeight="1">
      <c r="C113" s="15" t="s">
        <v>823</v>
      </c>
      <c r="D113" s="15">
        <v>93661</v>
      </c>
      <c r="E113" s="22" t="s">
        <v>79</v>
      </c>
      <c r="F113" s="23" t="s">
        <v>8</v>
      </c>
      <c r="G113" s="45">
        <f>5+5+9</f>
        <v>19</v>
      </c>
      <c r="H113" s="61">
        <v>58.91</v>
      </c>
      <c r="I113" s="61">
        <f t="shared" si="49"/>
        <v>73.05</v>
      </c>
      <c r="J113" s="61">
        <f t="shared" si="48"/>
        <v>1387.95</v>
      </c>
    </row>
    <row r="114" spans="3:10" ht="30" customHeight="1">
      <c r="C114" s="15" t="s">
        <v>824</v>
      </c>
      <c r="D114" s="15">
        <v>93662</v>
      </c>
      <c r="E114" s="22" t="s">
        <v>80</v>
      </c>
      <c r="F114" s="23" t="s">
        <v>8</v>
      </c>
      <c r="G114" s="45">
        <f>1+2+1</f>
        <v>4</v>
      </c>
      <c r="H114" s="61">
        <v>60.77</v>
      </c>
      <c r="I114" s="61">
        <f t="shared" si="49"/>
        <v>75.349999999999994</v>
      </c>
      <c r="J114" s="61">
        <f t="shared" si="48"/>
        <v>301.39999999999998</v>
      </c>
    </row>
    <row r="115" spans="3:10" ht="30" customHeight="1">
      <c r="C115" s="15" t="s">
        <v>825</v>
      </c>
      <c r="D115" s="15">
        <v>93666</v>
      </c>
      <c r="E115" s="22" t="s">
        <v>81</v>
      </c>
      <c r="F115" s="23" t="s">
        <v>8</v>
      </c>
      <c r="G115" s="45">
        <f>2+1</f>
        <v>3</v>
      </c>
      <c r="H115" s="61">
        <v>70.540000000000006</v>
      </c>
      <c r="I115" s="61">
        <f t="shared" si="49"/>
        <v>87.47</v>
      </c>
      <c r="J115" s="61">
        <f t="shared" si="48"/>
        <v>262.41000000000003</v>
      </c>
    </row>
    <row r="116" spans="3:10" s="21" customFormat="1">
      <c r="C116" s="18" t="s">
        <v>826</v>
      </c>
      <c r="D116" s="18"/>
      <c r="E116" s="19" t="s">
        <v>82</v>
      </c>
      <c r="F116" s="20"/>
      <c r="G116" s="44"/>
      <c r="H116" s="62"/>
      <c r="I116" s="62"/>
      <c r="J116" s="62"/>
    </row>
    <row r="117" spans="3:10" ht="30" customHeight="1">
      <c r="C117" s="15" t="s">
        <v>827</v>
      </c>
      <c r="D117" s="15" t="s">
        <v>83</v>
      </c>
      <c r="E117" s="22" t="s">
        <v>84</v>
      </c>
      <c r="F117" s="23" t="s">
        <v>8</v>
      </c>
      <c r="G117" s="45">
        <v>2</v>
      </c>
      <c r="H117" s="61">
        <v>1337.58</v>
      </c>
      <c r="I117" s="61">
        <f t="shared" si="49"/>
        <v>1658.6</v>
      </c>
      <c r="J117" s="61">
        <f t="shared" si="48"/>
        <v>3317.2</v>
      </c>
    </row>
    <row r="118" spans="3:10" ht="30" customHeight="1">
      <c r="C118" s="15" t="s">
        <v>828</v>
      </c>
      <c r="D118" s="15" t="s">
        <v>85</v>
      </c>
      <c r="E118" s="22" t="s">
        <v>86</v>
      </c>
      <c r="F118" s="23" t="s">
        <v>8</v>
      </c>
      <c r="G118" s="45">
        <f>2+8+1+4</f>
        <v>15</v>
      </c>
      <c r="H118" s="61">
        <v>590.53</v>
      </c>
      <c r="I118" s="61">
        <f t="shared" si="49"/>
        <v>732.26</v>
      </c>
      <c r="J118" s="61">
        <f t="shared" si="48"/>
        <v>10983.9</v>
      </c>
    </row>
    <row r="119" spans="3:10" ht="30" customHeight="1">
      <c r="C119" s="15" t="s">
        <v>829</v>
      </c>
      <c r="D119" s="15">
        <v>93669</v>
      </c>
      <c r="E119" s="22" t="s">
        <v>87</v>
      </c>
      <c r="F119" s="23" t="s">
        <v>8</v>
      </c>
      <c r="G119" s="45">
        <f>1+1</f>
        <v>2</v>
      </c>
      <c r="H119" s="61">
        <v>76.31</v>
      </c>
      <c r="I119" s="61">
        <f t="shared" si="49"/>
        <v>94.62</v>
      </c>
      <c r="J119" s="61">
        <f t="shared" si="48"/>
        <v>189.24</v>
      </c>
    </row>
    <row r="120" spans="3:10" ht="30" customHeight="1">
      <c r="C120" s="15" t="s">
        <v>830</v>
      </c>
      <c r="D120" s="15">
        <v>93670</v>
      </c>
      <c r="E120" s="22" t="s">
        <v>88</v>
      </c>
      <c r="F120" s="23" t="s">
        <v>8</v>
      </c>
      <c r="G120" s="45">
        <v>1</v>
      </c>
      <c r="H120" s="61">
        <v>76.31</v>
      </c>
      <c r="I120" s="61">
        <f t="shared" si="49"/>
        <v>94.62</v>
      </c>
      <c r="J120" s="61">
        <f t="shared" si="48"/>
        <v>94.62</v>
      </c>
    </row>
    <row r="121" spans="3:10" s="21" customFormat="1">
      <c r="C121" s="18" t="s">
        <v>832</v>
      </c>
      <c r="D121" s="18"/>
      <c r="E121" s="19" t="s">
        <v>831</v>
      </c>
      <c r="F121" s="20"/>
      <c r="G121" s="44"/>
      <c r="H121" s="62"/>
      <c r="I121" s="62"/>
      <c r="J121" s="62"/>
    </row>
    <row r="122" spans="3:10" ht="30" customHeight="1">
      <c r="C122" s="15" t="s">
        <v>833</v>
      </c>
      <c r="D122" s="15">
        <v>91953</v>
      </c>
      <c r="E122" s="22" t="s">
        <v>89</v>
      </c>
      <c r="F122" s="23" t="s">
        <v>8</v>
      </c>
      <c r="G122" s="45">
        <f>5+6+14</f>
        <v>25</v>
      </c>
      <c r="H122" s="61">
        <v>22.85</v>
      </c>
      <c r="I122" s="61">
        <f t="shared" si="49"/>
        <v>28.33</v>
      </c>
      <c r="J122" s="61">
        <f t="shared" si="48"/>
        <v>708.25</v>
      </c>
    </row>
    <row r="123" spans="3:10" s="21" customFormat="1">
      <c r="C123" s="18" t="s">
        <v>835</v>
      </c>
      <c r="D123" s="18"/>
      <c r="E123" s="19" t="s">
        <v>834</v>
      </c>
      <c r="F123" s="20"/>
      <c r="G123" s="44"/>
      <c r="H123" s="62"/>
      <c r="I123" s="62"/>
      <c r="J123" s="62"/>
    </row>
    <row r="124" spans="3:10" ht="30" customHeight="1">
      <c r="C124" s="15" t="s">
        <v>836</v>
      </c>
      <c r="D124" s="15" t="s">
        <v>267</v>
      </c>
      <c r="E124" s="22" t="str">
        <f>COMPOSIÇÕES!D234</f>
        <v>INTERRUPTOR TETRAPOLAR DR (3 FASES/NEUTRO - 30MA) - DIN 100 A - FORNECIMENTO E INSTALAÇÃO</v>
      </c>
      <c r="F124" s="23" t="s">
        <v>8</v>
      </c>
      <c r="G124" s="45">
        <v>7</v>
      </c>
      <c r="H124" s="61">
        <v>349.99</v>
      </c>
      <c r="I124" s="61">
        <f t="shared" ref="I124" si="50">ROUND(H124*$J$7,2)</f>
        <v>433.99</v>
      </c>
      <c r="J124" s="61">
        <f t="shared" ref="J124" si="51">ROUND(G124*I124,2)</f>
        <v>3037.93</v>
      </c>
    </row>
    <row r="125" spans="3:10" s="21" customFormat="1">
      <c r="C125" s="18" t="s">
        <v>837</v>
      </c>
      <c r="D125" s="18"/>
      <c r="E125" s="19" t="s">
        <v>90</v>
      </c>
      <c r="F125" s="20"/>
      <c r="G125" s="44"/>
      <c r="H125" s="62"/>
      <c r="I125" s="62"/>
      <c r="J125" s="62"/>
    </row>
    <row r="126" spans="3:10" ht="30" customHeight="1">
      <c r="C126" s="15" t="s">
        <v>838</v>
      </c>
      <c r="D126" s="15">
        <v>91996</v>
      </c>
      <c r="E126" s="22" t="s">
        <v>91</v>
      </c>
      <c r="F126" s="23" t="s">
        <v>8</v>
      </c>
      <c r="G126" s="45">
        <v>5</v>
      </c>
      <c r="H126" s="61">
        <v>27.12</v>
      </c>
      <c r="I126" s="61">
        <f t="shared" ref="I126:I127" si="52">ROUND(H126*$J$7,2)</f>
        <v>33.630000000000003</v>
      </c>
      <c r="J126" s="61">
        <f t="shared" ref="J126:J127" si="53">ROUND(G126*I126,2)</f>
        <v>168.15</v>
      </c>
    </row>
    <row r="127" spans="3:10" ht="30" customHeight="1">
      <c r="C127" s="15" t="s">
        <v>839</v>
      </c>
      <c r="D127" s="15">
        <v>91997</v>
      </c>
      <c r="E127" s="22" t="s">
        <v>92</v>
      </c>
      <c r="F127" s="23" t="s">
        <v>8</v>
      </c>
      <c r="G127" s="45">
        <f>33+41+100+30+12+38+2</f>
        <v>256</v>
      </c>
      <c r="H127" s="61">
        <v>29.26</v>
      </c>
      <c r="I127" s="61">
        <f t="shared" si="52"/>
        <v>36.28</v>
      </c>
      <c r="J127" s="61">
        <f t="shared" si="53"/>
        <v>9287.68</v>
      </c>
    </row>
    <row r="128" spans="3:10" s="21" customFormat="1">
      <c r="C128" s="18" t="s">
        <v>840</v>
      </c>
      <c r="D128" s="18"/>
      <c r="E128" s="19" t="s">
        <v>93</v>
      </c>
      <c r="F128" s="20"/>
      <c r="G128" s="44"/>
      <c r="H128" s="62"/>
      <c r="I128" s="62"/>
      <c r="J128" s="62"/>
    </row>
    <row r="129" spans="3:10" ht="30" customHeight="1">
      <c r="C129" s="15" t="s">
        <v>841</v>
      </c>
      <c r="D129" s="15">
        <v>97596</v>
      </c>
      <c r="E129" s="22" t="s">
        <v>94</v>
      </c>
      <c r="F129" s="23" t="s">
        <v>8</v>
      </c>
      <c r="G129" s="45">
        <f>5+5+6+1</f>
        <v>17</v>
      </c>
      <c r="H129" s="61">
        <v>34.799999999999997</v>
      </c>
      <c r="I129" s="61">
        <f t="shared" ref="I129:I134" si="54">ROUND(H129*$J$7,2)</f>
        <v>43.15</v>
      </c>
      <c r="J129" s="61">
        <f t="shared" ref="J129:J134" si="55">ROUND(G129*I129,2)</f>
        <v>733.55</v>
      </c>
    </row>
    <row r="130" spans="3:10" s="21" customFormat="1">
      <c r="C130" s="18" t="s">
        <v>842</v>
      </c>
      <c r="D130" s="18"/>
      <c r="E130" s="19" t="s">
        <v>843</v>
      </c>
      <c r="F130" s="20"/>
      <c r="G130" s="44"/>
      <c r="H130" s="62"/>
      <c r="I130" s="62"/>
      <c r="J130" s="62"/>
    </row>
    <row r="131" spans="3:10" ht="30" customHeight="1">
      <c r="C131" s="15" t="s">
        <v>844</v>
      </c>
      <c r="D131" s="15" t="s">
        <v>267</v>
      </c>
      <c r="E131" s="22" t="str">
        <f>COMPOSIÇÕES!D80</f>
        <v>LUMINÁRIA DE LED, DE SOBREPOR, CONFORME MODELO DE PROJETO - FORNECIMENTO E INSTALAÇÃO. AF_11/2017</v>
      </c>
      <c r="F131" s="23" t="s">
        <v>8</v>
      </c>
      <c r="G131" s="45">
        <f>58+59+54+4</f>
        <v>175</v>
      </c>
      <c r="H131" s="61">
        <v>249.67</v>
      </c>
      <c r="I131" s="61">
        <f t="shared" ref="I131" si="56">ROUND(H131*$J$7,2)</f>
        <v>309.58999999999997</v>
      </c>
      <c r="J131" s="61">
        <f t="shared" ref="J131" si="57">ROUND(G131*I131,2)</f>
        <v>54178.25</v>
      </c>
    </row>
    <row r="132" spans="3:10" ht="30" customHeight="1">
      <c r="C132" s="15" t="s">
        <v>845</v>
      </c>
      <c r="D132" s="15">
        <v>97592</v>
      </c>
      <c r="E132" s="22" t="s">
        <v>95</v>
      </c>
      <c r="F132" s="23" t="s">
        <v>8</v>
      </c>
      <c r="G132" s="45">
        <f>8+8+20</f>
        <v>36</v>
      </c>
      <c r="H132" s="61">
        <v>99.25</v>
      </c>
      <c r="I132" s="61">
        <f t="shared" si="54"/>
        <v>123.07</v>
      </c>
      <c r="J132" s="61">
        <f t="shared" si="55"/>
        <v>4430.5200000000004</v>
      </c>
    </row>
    <row r="133" spans="3:10" s="21" customFormat="1">
      <c r="C133" s="18" t="s">
        <v>846</v>
      </c>
      <c r="D133" s="18"/>
      <c r="E133" s="19" t="s">
        <v>96</v>
      </c>
      <c r="F133" s="20"/>
      <c r="G133" s="44"/>
      <c r="H133" s="62"/>
      <c r="I133" s="62"/>
      <c r="J133" s="62"/>
    </row>
    <row r="134" spans="3:10" ht="15" customHeight="1">
      <c r="C134" s="15" t="s">
        <v>847</v>
      </c>
      <c r="D134" s="15">
        <v>97599</v>
      </c>
      <c r="E134" s="22" t="s">
        <v>97</v>
      </c>
      <c r="F134" s="23" t="s">
        <v>8</v>
      </c>
      <c r="G134" s="45">
        <v>20</v>
      </c>
      <c r="H134" s="61">
        <v>37.56</v>
      </c>
      <c r="I134" s="61">
        <f t="shared" si="54"/>
        <v>46.57</v>
      </c>
      <c r="J134" s="61">
        <f t="shared" si="55"/>
        <v>931.4</v>
      </c>
    </row>
    <row r="135" spans="3:10" s="21" customFormat="1">
      <c r="C135" s="18" t="s">
        <v>848</v>
      </c>
      <c r="D135" s="18"/>
      <c r="E135" s="19" t="s">
        <v>98</v>
      </c>
      <c r="F135" s="20"/>
      <c r="G135" s="44"/>
      <c r="H135" s="62"/>
      <c r="I135" s="62"/>
      <c r="J135" s="228">
        <f>SUM(J136:J148)</f>
        <v>26581.489999999998</v>
      </c>
    </row>
    <row r="136" spans="3:10" s="21" customFormat="1">
      <c r="C136" s="18" t="s">
        <v>849</v>
      </c>
      <c r="D136" s="18"/>
      <c r="E136" s="19" t="s">
        <v>99</v>
      </c>
      <c r="F136" s="20"/>
      <c r="G136" s="44"/>
      <c r="H136" s="62"/>
      <c r="I136" s="62"/>
      <c r="J136" s="62"/>
    </row>
    <row r="137" spans="3:10" ht="15" customHeight="1">
      <c r="C137" s="15" t="s">
        <v>850</v>
      </c>
      <c r="D137" s="15">
        <v>96985</v>
      </c>
      <c r="E137" s="22" t="s">
        <v>100</v>
      </c>
      <c r="F137" s="23" t="s">
        <v>8</v>
      </c>
      <c r="G137" s="45">
        <v>8</v>
      </c>
      <c r="H137" s="61">
        <v>40.25</v>
      </c>
      <c r="I137" s="61">
        <f t="shared" ref="I137:I145" si="58">ROUND(H137*$J$7,2)</f>
        <v>49.91</v>
      </c>
      <c r="J137" s="61">
        <f t="shared" ref="J137:J139" si="59">ROUND(G137*I137,2)</f>
        <v>399.28</v>
      </c>
    </row>
    <row r="138" spans="3:10" ht="15" customHeight="1">
      <c r="C138" s="15" t="s">
        <v>851</v>
      </c>
      <c r="D138" s="15">
        <v>96986</v>
      </c>
      <c r="E138" s="22" t="s">
        <v>101</v>
      </c>
      <c r="F138" s="23" t="s">
        <v>8</v>
      </c>
      <c r="G138" s="45">
        <v>4</v>
      </c>
      <c r="H138" s="61">
        <v>60.41</v>
      </c>
      <c r="I138" s="61">
        <f t="shared" si="58"/>
        <v>74.91</v>
      </c>
      <c r="J138" s="61">
        <f t="shared" si="59"/>
        <v>299.64</v>
      </c>
    </row>
    <row r="139" spans="3:10" s="21" customFormat="1">
      <c r="C139" s="18" t="s">
        <v>852</v>
      </c>
      <c r="D139" s="18"/>
      <c r="E139" s="19" t="s">
        <v>102</v>
      </c>
      <c r="F139" s="20"/>
      <c r="G139" s="44"/>
      <c r="H139" s="62"/>
      <c r="I139" s="62">
        <f t="shared" si="58"/>
        <v>0</v>
      </c>
      <c r="J139" s="62">
        <f t="shared" si="59"/>
        <v>0</v>
      </c>
    </row>
    <row r="140" spans="3:10" ht="15" customHeight="1">
      <c r="C140" s="15" t="s">
        <v>853</v>
      </c>
      <c r="D140" s="15">
        <v>96984</v>
      </c>
      <c r="E140" s="22" t="s">
        <v>103</v>
      </c>
      <c r="F140" s="23" t="s">
        <v>8</v>
      </c>
      <c r="G140" s="45">
        <v>36</v>
      </c>
      <c r="H140" s="61">
        <v>45.27</v>
      </c>
      <c r="I140" s="61">
        <f t="shared" si="58"/>
        <v>56.13</v>
      </c>
      <c r="J140" s="61">
        <f t="shared" ref="J140:J152" si="60">ROUND(G140*I140,2)</f>
        <v>2020.68</v>
      </c>
    </row>
    <row r="141" spans="3:10" ht="30" customHeight="1">
      <c r="C141" s="15" t="s">
        <v>854</v>
      </c>
      <c r="D141" s="15">
        <v>98111</v>
      </c>
      <c r="E141" s="22" t="s">
        <v>104</v>
      </c>
      <c r="F141" s="23" t="s">
        <v>8</v>
      </c>
      <c r="G141" s="45">
        <v>4</v>
      </c>
      <c r="H141" s="61">
        <v>22.37</v>
      </c>
      <c r="I141" s="61">
        <f t="shared" si="58"/>
        <v>27.74</v>
      </c>
      <c r="J141" s="61">
        <f t="shared" si="60"/>
        <v>110.96</v>
      </c>
    </row>
    <row r="142" spans="3:10" ht="15" customHeight="1">
      <c r="C142" s="15" t="s">
        <v>855</v>
      </c>
      <c r="D142" s="15">
        <v>96989</v>
      </c>
      <c r="E142" s="22" t="s">
        <v>105</v>
      </c>
      <c r="F142" s="23" t="s">
        <v>8</v>
      </c>
      <c r="G142" s="45">
        <v>1</v>
      </c>
      <c r="H142" s="61">
        <v>86.79</v>
      </c>
      <c r="I142" s="61">
        <f t="shared" si="58"/>
        <v>107.62</v>
      </c>
      <c r="J142" s="61">
        <f t="shared" si="60"/>
        <v>107.62</v>
      </c>
    </row>
    <row r="143" spans="3:10" ht="15" customHeight="1">
      <c r="C143" s="15" t="s">
        <v>856</v>
      </c>
      <c r="D143" s="15">
        <v>96988</v>
      </c>
      <c r="E143" s="22" t="s">
        <v>106</v>
      </c>
      <c r="F143" s="23" t="s">
        <v>8</v>
      </c>
      <c r="G143" s="45">
        <v>1</v>
      </c>
      <c r="H143" s="61">
        <v>131.54</v>
      </c>
      <c r="I143" s="61">
        <f t="shared" si="58"/>
        <v>163.11000000000001</v>
      </c>
      <c r="J143" s="61">
        <f t="shared" si="60"/>
        <v>163.11000000000001</v>
      </c>
    </row>
    <row r="144" spans="3:10" ht="15" customHeight="1">
      <c r="C144" s="15" t="s">
        <v>857</v>
      </c>
      <c r="D144" s="15">
        <v>72315</v>
      </c>
      <c r="E144" s="22" t="s">
        <v>107</v>
      </c>
      <c r="F144" s="23" t="s">
        <v>8</v>
      </c>
      <c r="G144" s="45">
        <v>8</v>
      </c>
      <c r="H144" s="61">
        <v>28.64</v>
      </c>
      <c r="I144" s="61">
        <f t="shared" si="58"/>
        <v>35.51</v>
      </c>
      <c r="J144" s="61">
        <f t="shared" si="60"/>
        <v>284.08</v>
      </c>
    </row>
    <row r="145" spans="3:10" ht="15" customHeight="1">
      <c r="C145" s="15" t="s">
        <v>858</v>
      </c>
      <c r="D145" s="15">
        <v>98463</v>
      </c>
      <c r="E145" s="22" t="s">
        <v>108</v>
      </c>
      <c r="F145" s="23" t="s">
        <v>8</v>
      </c>
      <c r="G145" s="45">
        <v>108</v>
      </c>
      <c r="H145" s="61">
        <v>20.07</v>
      </c>
      <c r="I145" s="61">
        <f t="shared" si="58"/>
        <v>24.89</v>
      </c>
      <c r="J145" s="61">
        <f t="shared" si="60"/>
        <v>2688.12</v>
      </c>
    </row>
    <row r="146" spans="3:10" s="21" customFormat="1">
      <c r="C146" s="18" t="s">
        <v>859</v>
      </c>
      <c r="D146" s="18"/>
      <c r="E146" s="19" t="s">
        <v>860</v>
      </c>
      <c r="F146" s="20"/>
      <c r="G146" s="44"/>
      <c r="H146" s="62"/>
      <c r="I146" s="62"/>
      <c r="J146" s="62"/>
    </row>
    <row r="147" spans="3:10" ht="22.5" customHeight="1">
      <c r="C147" s="15" t="s">
        <v>861</v>
      </c>
      <c r="D147" s="15">
        <v>96973</v>
      </c>
      <c r="E147" s="50" t="s">
        <v>542</v>
      </c>
      <c r="F147" s="51" t="s">
        <v>7</v>
      </c>
      <c r="G147" s="52">
        <v>227.9</v>
      </c>
      <c r="H147" s="63">
        <v>36.270000000000003</v>
      </c>
      <c r="I147" s="63">
        <f t="shared" ref="I147:I152" si="61">ROUND(H147*$J$7,2)</f>
        <v>44.97</v>
      </c>
      <c r="J147" s="63">
        <f t="shared" si="60"/>
        <v>10248.66</v>
      </c>
    </row>
    <row r="148" spans="3:10" ht="18.75" customHeight="1">
      <c r="C148" s="15" t="s">
        <v>862</v>
      </c>
      <c r="D148" s="15">
        <v>96974</v>
      </c>
      <c r="E148" s="22" t="s">
        <v>543</v>
      </c>
      <c r="F148" s="23" t="s">
        <v>7</v>
      </c>
      <c r="G148" s="45">
        <v>182</v>
      </c>
      <c r="H148" s="61">
        <v>45.46</v>
      </c>
      <c r="I148" s="61">
        <f t="shared" si="61"/>
        <v>56.37</v>
      </c>
      <c r="J148" s="61">
        <f t="shared" si="60"/>
        <v>10259.34</v>
      </c>
    </row>
    <row r="149" spans="3:10" s="21" customFormat="1">
      <c r="C149" s="18" t="s">
        <v>863</v>
      </c>
      <c r="D149" s="18"/>
      <c r="E149" s="19" t="s">
        <v>109</v>
      </c>
      <c r="F149" s="20"/>
      <c r="G149" s="44"/>
      <c r="H149" s="62"/>
      <c r="I149" s="62"/>
      <c r="J149" s="228">
        <f>SUM(J150:J156)</f>
        <v>7828.4699999999993</v>
      </c>
    </row>
    <row r="150" spans="3:10" s="21" customFormat="1">
      <c r="C150" s="18" t="s">
        <v>864</v>
      </c>
      <c r="D150" s="18"/>
      <c r="E150" s="19" t="s">
        <v>110</v>
      </c>
      <c r="F150" s="20"/>
      <c r="G150" s="44"/>
      <c r="H150" s="62"/>
      <c r="I150" s="62"/>
      <c r="J150" s="62"/>
    </row>
    <row r="151" spans="3:10" ht="30" customHeight="1">
      <c r="C151" s="15" t="s">
        <v>865</v>
      </c>
      <c r="D151" s="15">
        <v>100561</v>
      </c>
      <c r="E151" s="22" t="s">
        <v>111</v>
      </c>
      <c r="F151" s="23" t="s">
        <v>8</v>
      </c>
      <c r="G151" s="45">
        <v>1</v>
      </c>
      <c r="H151" s="61">
        <v>119.22</v>
      </c>
      <c r="I151" s="61">
        <f t="shared" si="61"/>
        <v>147.83000000000001</v>
      </c>
      <c r="J151" s="61">
        <f t="shared" si="60"/>
        <v>147.83000000000001</v>
      </c>
    </row>
    <row r="152" spans="3:10" ht="30" customHeight="1">
      <c r="C152" s="15" t="s">
        <v>866</v>
      </c>
      <c r="D152" s="15">
        <v>100562</v>
      </c>
      <c r="E152" s="22" t="s">
        <v>112</v>
      </c>
      <c r="F152" s="23" t="s">
        <v>8</v>
      </c>
      <c r="G152" s="45">
        <f>1+1+1</f>
        <v>3</v>
      </c>
      <c r="H152" s="61">
        <v>177.73</v>
      </c>
      <c r="I152" s="61">
        <f t="shared" si="61"/>
        <v>220.39</v>
      </c>
      <c r="J152" s="61">
        <f t="shared" si="60"/>
        <v>661.17</v>
      </c>
    </row>
    <row r="153" spans="3:10" s="21" customFormat="1">
      <c r="C153" s="18" t="s">
        <v>867</v>
      </c>
      <c r="D153" s="18"/>
      <c r="E153" s="19" t="s">
        <v>113</v>
      </c>
      <c r="F153" s="20"/>
      <c r="G153" s="44"/>
      <c r="H153" s="62"/>
      <c r="I153" s="62"/>
      <c r="J153" s="62"/>
    </row>
    <row r="154" spans="3:10" ht="15" customHeight="1">
      <c r="C154" s="15" t="s">
        <v>868</v>
      </c>
      <c r="D154" s="15">
        <v>72337</v>
      </c>
      <c r="E154" s="22" t="s">
        <v>114</v>
      </c>
      <c r="F154" s="23" t="s">
        <v>8</v>
      </c>
      <c r="G154" s="45">
        <f>14+47</f>
        <v>61</v>
      </c>
      <c r="H154" s="61">
        <v>28.09</v>
      </c>
      <c r="I154" s="61">
        <f t="shared" ref="I154:I156" si="62">ROUND(H154*$J$7,2)</f>
        <v>34.83</v>
      </c>
      <c r="J154" s="61">
        <f t="shared" ref="J154:J156" si="63">ROUND(G154*I154,2)</f>
        <v>2124.63</v>
      </c>
    </row>
    <row r="155" spans="3:10" ht="15" customHeight="1">
      <c r="C155" s="15" t="s">
        <v>869</v>
      </c>
      <c r="D155" s="15">
        <v>98307</v>
      </c>
      <c r="E155" s="22" t="s">
        <v>115</v>
      </c>
      <c r="F155" s="23" t="s">
        <v>8</v>
      </c>
      <c r="G155" s="45">
        <f>15+51+5</f>
        <v>71</v>
      </c>
      <c r="H155" s="61">
        <v>43.26</v>
      </c>
      <c r="I155" s="61">
        <f t="shared" si="62"/>
        <v>53.64</v>
      </c>
      <c r="J155" s="61">
        <f t="shared" si="63"/>
        <v>3808.44</v>
      </c>
    </row>
    <row r="156" spans="3:10" ht="15" customHeight="1">
      <c r="C156" s="15" t="s">
        <v>870</v>
      </c>
      <c r="D156" s="15" t="s">
        <v>267</v>
      </c>
      <c r="E156" s="22" t="s">
        <v>382</v>
      </c>
      <c r="F156" s="23" t="s">
        <v>8</v>
      </c>
      <c r="G156" s="45">
        <f>9+6+1</f>
        <v>16</v>
      </c>
      <c r="H156" s="61">
        <v>54.76</v>
      </c>
      <c r="I156" s="61">
        <f t="shared" si="62"/>
        <v>67.900000000000006</v>
      </c>
      <c r="J156" s="61">
        <f t="shared" si="63"/>
        <v>1086.4000000000001</v>
      </c>
    </row>
    <row r="157" spans="3:10">
      <c r="C157" s="16" t="s">
        <v>725</v>
      </c>
      <c r="D157" s="16"/>
      <c r="E157" s="19" t="s">
        <v>116</v>
      </c>
      <c r="F157" s="17"/>
      <c r="G157" s="46"/>
      <c r="H157" s="64"/>
      <c r="I157" s="64"/>
      <c r="J157" s="228">
        <f>SUM(J158:J171)</f>
        <v>17671.170000000002</v>
      </c>
    </row>
    <row r="158" spans="3:10">
      <c r="C158" s="16" t="s">
        <v>871</v>
      </c>
      <c r="D158" s="16"/>
      <c r="E158" s="19" t="s">
        <v>117</v>
      </c>
      <c r="F158" s="17"/>
      <c r="G158" s="46"/>
      <c r="H158" s="64"/>
      <c r="I158" s="64"/>
      <c r="J158" s="64"/>
    </row>
    <row r="159" spans="3:10" ht="45" customHeight="1">
      <c r="C159" s="15" t="s">
        <v>872</v>
      </c>
      <c r="D159" s="15">
        <v>72283</v>
      </c>
      <c r="E159" s="22" t="s">
        <v>118</v>
      </c>
      <c r="F159" s="23" t="s">
        <v>8</v>
      </c>
      <c r="G159" s="45">
        <v>3</v>
      </c>
      <c r="H159" s="61">
        <v>783.25</v>
      </c>
      <c r="I159" s="61">
        <f t="shared" ref="I159" si="64">ROUND(H159*$J$7,2)</f>
        <v>971.23</v>
      </c>
      <c r="J159" s="61">
        <f t="shared" ref="J159:J164" si="65">ROUND(G159*I159,2)</f>
        <v>2913.69</v>
      </c>
    </row>
    <row r="160" spans="3:10">
      <c r="C160" s="16" t="s">
        <v>873</v>
      </c>
      <c r="D160" s="16"/>
      <c r="E160" s="19" t="s">
        <v>119</v>
      </c>
      <c r="F160" s="17"/>
      <c r="G160" s="46"/>
      <c r="H160" s="64"/>
      <c r="I160" s="64"/>
      <c r="J160" s="64"/>
    </row>
    <row r="161" spans="3:10" ht="15" customHeight="1">
      <c r="C161" s="15" t="s">
        <v>874</v>
      </c>
      <c r="D161" s="15">
        <v>83633</v>
      </c>
      <c r="E161" s="22" t="s">
        <v>120</v>
      </c>
      <c r="F161" s="23" t="s">
        <v>8</v>
      </c>
      <c r="G161" s="45">
        <v>1</v>
      </c>
      <c r="H161" s="61">
        <v>1962.19</v>
      </c>
      <c r="I161" s="61">
        <f t="shared" ref="I161:I164" si="66">ROUND(H161*$J$7,2)</f>
        <v>2433.12</v>
      </c>
      <c r="J161" s="61">
        <f t="shared" si="65"/>
        <v>2433.12</v>
      </c>
    </row>
    <row r="162" spans="3:10">
      <c r="C162" s="16" t="s">
        <v>875</v>
      </c>
      <c r="D162" s="16"/>
      <c r="E162" s="19" t="s">
        <v>121</v>
      </c>
      <c r="F162" s="17"/>
      <c r="G162" s="46"/>
      <c r="H162" s="64"/>
      <c r="I162" s="64"/>
      <c r="J162" s="64"/>
    </row>
    <row r="163" spans="3:10" ht="45" customHeight="1">
      <c r="C163" s="15" t="s">
        <v>876</v>
      </c>
      <c r="D163" s="15">
        <v>92367</v>
      </c>
      <c r="E163" s="22" t="s">
        <v>122</v>
      </c>
      <c r="F163" s="23" t="s">
        <v>7</v>
      </c>
      <c r="G163" s="45">
        <v>70</v>
      </c>
      <c r="H163" s="61">
        <v>56.14</v>
      </c>
      <c r="I163" s="61">
        <f t="shared" si="66"/>
        <v>69.61</v>
      </c>
      <c r="J163" s="61">
        <f t="shared" si="65"/>
        <v>4872.7</v>
      </c>
    </row>
    <row r="164" spans="3:10" ht="30" customHeight="1">
      <c r="C164" s="15" t="s">
        <v>877</v>
      </c>
      <c r="D164" s="15">
        <v>92642</v>
      </c>
      <c r="E164" s="22" t="s">
        <v>123</v>
      </c>
      <c r="F164" s="23" t="s">
        <v>8</v>
      </c>
      <c r="G164" s="45">
        <v>10</v>
      </c>
      <c r="H164" s="61">
        <v>135.44999999999999</v>
      </c>
      <c r="I164" s="61">
        <f t="shared" si="66"/>
        <v>167.96</v>
      </c>
      <c r="J164" s="61">
        <f t="shared" si="65"/>
        <v>1679.6</v>
      </c>
    </row>
    <row r="165" spans="3:10">
      <c r="C165" s="16" t="s">
        <v>878</v>
      </c>
      <c r="D165" s="16"/>
      <c r="E165" s="19" t="s">
        <v>124</v>
      </c>
      <c r="F165" s="17"/>
      <c r="G165" s="46"/>
      <c r="H165" s="64"/>
      <c r="I165" s="64"/>
      <c r="J165" s="64"/>
    </row>
    <row r="166" spans="3:10" ht="30" customHeight="1">
      <c r="C166" s="15" t="s">
        <v>879</v>
      </c>
      <c r="D166" s="15">
        <v>97455</v>
      </c>
      <c r="E166" s="22" t="s">
        <v>125</v>
      </c>
      <c r="F166" s="23" t="s">
        <v>8</v>
      </c>
      <c r="G166" s="45">
        <v>10</v>
      </c>
      <c r="H166" s="61">
        <v>193.47</v>
      </c>
      <c r="I166" s="61">
        <f t="shared" ref="I166" si="67">ROUND(H166*$J$7,2)</f>
        <v>239.9</v>
      </c>
      <c r="J166" s="61">
        <f t="shared" ref="J166" si="68">ROUND(G166*I166,2)</f>
        <v>2399</v>
      </c>
    </row>
    <row r="167" spans="3:10">
      <c r="C167" s="16" t="s">
        <v>880</v>
      </c>
      <c r="D167" s="16"/>
      <c r="E167" s="19" t="s">
        <v>126</v>
      </c>
      <c r="F167" s="17"/>
      <c r="G167" s="46"/>
      <c r="H167" s="64"/>
      <c r="I167" s="64"/>
      <c r="J167" s="64"/>
    </row>
    <row r="168" spans="3:10" ht="15" customHeight="1">
      <c r="C168" s="15" t="s">
        <v>881</v>
      </c>
      <c r="D168" s="15">
        <v>83635</v>
      </c>
      <c r="E168" s="22" t="s">
        <v>127</v>
      </c>
      <c r="F168" s="23" t="s">
        <v>8</v>
      </c>
      <c r="G168" s="45">
        <f>4+4+4</f>
        <v>12</v>
      </c>
      <c r="H168" s="61">
        <v>152.54</v>
      </c>
      <c r="I168" s="61">
        <f t="shared" ref="I168" si="69">ROUND(H168*$J$7,2)</f>
        <v>189.15</v>
      </c>
      <c r="J168" s="61">
        <f t="shared" ref="J168" si="70">ROUND(G168*I168,2)</f>
        <v>2269.8000000000002</v>
      </c>
    </row>
    <row r="169" spans="3:10">
      <c r="C169" s="16" t="s">
        <v>882</v>
      </c>
      <c r="D169" s="16"/>
      <c r="E169" s="19" t="s">
        <v>385</v>
      </c>
      <c r="F169" s="17"/>
      <c r="G169" s="46"/>
      <c r="H169" s="64"/>
      <c r="I169" s="64"/>
      <c r="J169" s="64"/>
    </row>
    <row r="170" spans="3:10" ht="24" customHeight="1">
      <c r="C170" s="15" t="s">
        <v>883</v>
      </c>
      <c r="D170" s="15" t="s">
        <v>267</v>
      </c>
      <c r="E170" s="22" t="str">
        <f>COMPOSIÇÕES!D87</f>
        <v>PLACA DE SINALIZAÇÃO - 15X30 CM - CONFORME PROJETO - FORNECIMENTO E INSTALAÇÃO</v>
      </c>
      <c r="F170" s="23" t="s">
        <v>8</v>
      </c>
      <c r="G170" s="45">
        <v>26</v>
      </c>
      <c r="H170" s="61">
        <v>25.78</v>
      </c>
      <c r="I170" s="61">
        <f t="shared" ref="I170" si="71">ROUND(H170*$J$7,2)</f>
        <v>31.97</v>
      </c>
      <c r="J170" s="61">
        <f t="shared" ref="J170" si="72">ROUND(G170*I170,2)</f>
        <v>831.22</v>
      </c>
    </row>
    <row r="171" spans="3:10" ht="24" customHeight="1">
      <c r="C171" s="15" t="s">
        <v>884</v>
      </c>
      <c r="D171" s="15" t="s">
        <v>267</v>
      </c>
      <c r="E171" s="3" t="str">
        <f>COMPOSIÇÕES!D93</f>
        <v>PINTURA DE SINALIZAÇÃO DE SOLO PARA EXTINTOR (1X1 M)</v>
      </c>
      <c r="F171" s="23" t="s">
        <v>6</v>
      </c>
      <c r="G171" s="45">
        <v>12</v>
      </c>
      <c r="H171" s="61">
        <v>18.28</v>
      </c>
      <c r="I171" s="61">
        <f t="shared" ref="I171" si="73">ROUND(H171*$J$7,2)</f>
        <v>22.67</v>
      </c>
      <c r="J171" s="61">
        <f t="shared" ref="J171" si="74">ROUND(G171*I171,2)</f>
        <v>272.04000000000002</v>
      </c>
    </row>
    <row r="172" spans="3:10">
      <c r="C172" s="16" t="s">
        <v>532</v>
      </c>
      <c r="D172" s="16"/>
      <c r="E172" s="19" t="s">
        <v>128</v>
      </c>
      <c r="F172" s="17"/>
      <c r="G172" s="46"/>
      <c r="H172" s="64"/>
      <c r="I172" s="64"/>
      <c r="J172" s="228">
        <f>SUM(J173:J222)</f>
        <v>49191.62000000001</v>
      </c>
    </row>
    <row r="173" spans="3:10">
      <c r="C173" s="16" t="s">
        <v>885</v>
      </c>
      <c r="D173" s="16"/>
      <c r="E173" s="19" t="s">
        <v>129</v>
      </c>
      <c r="F173" s="17"/>
      <c r="G173" s="46"/>
      <c r="H173" s="64"/>
      <c r="I173" s="64"/>
      <c r="J173" s="64"/>
    </row>
    <row r="174" spans="3:10" ht="36.75" customHeight="1">
      <c r="C174" s="15" t="s">
        <v>886</v>
      </c>
      <c r="D174" s="15">
        <v>94483</v>
      </c>
      <c r="E174" s="22" t="s">
        <v>453</v>
      </c>
      <c r="F174" s="23" t="s">
        <v>8</v>
      </c>
      <c r="G174" s="45">
        <v>1</v>
      </c>
      <c r="H174" s="61">
        <v>937.07</v>
      </c>
      <c r="I174" s="61">
        <f t="shared" ref="I174" si="75">ROUND(H174*$J$7,2)</f>
        <v>1161.97</v>
      </c>
      <c r="J174" s="61">
        <f t="shared" ref="J174" si="76">ROUND(G174*I174,2)</f>
        <v>1161.97</v>
      </c>
    </row>
    <row r="175" spans="3:10">
      <c r="C175" s="16" t="s">
        <v>887</v>
      </c>
      <c r="D175" s="16"/>
      <c r="E175" s="19" t="s">
        <v>130</v>
      </c>
      <c r="F175" s="17"/>
      <c r="G175" s="46"/>
      <c r="H175" s="64"/>
      <c r="I175" s="64"/>
      <c r="J175" s="64"/>
    </row>
    <row r="176" spans="3:10" ht="15" customHeight="1">
      <c r="C176" s="15" t="s">
        <v>888</v>
      </c>
      <c r="D176" s="15" t="s">
        <v>131</v>
      </c>
      <c r="E176" s="22" t="s">
        <v>132</v>
      </c>
      <c r="F176" s="23" t="s">
        <v>8</v>
      </c>
      <c r="G176" s="45">
        <v>1</v>
      </c>
      <c r="H176" s="61">
        <v>202.42</v>
      </c>
      <c r="I176" s="61">
        <f t="shared" ref="I176" si="77">ROUND(H176*$J$7,2)</f>
        <v>251</v>
      </c>
      <c r="J176" s="61">
        <f t="shared" ref="J176:J180" si="78">ROUND(G176*I176,2)</f>
        <v>251</v>
      </c>
    </row>
    <row r="177" spans="3:10">
      <c r="C177" s="16" t="s">
        <v>889</v>
      </c>
      <c r="D177" s="16"/>
      <c r="E177" s="19" t="s">
        <v>133</v>
      </c>
      <c r="F177" s="17"/>
      <c r="G177" s="46"/>
      <c r="H177" s="64"/>
      <c r="I177" s="64"/>
      <c r="J177" s="64"/>
    </row>
    <row r="178" spans="3:10" ht="30" customHeight="1">
      <c r="C178" s="15" t="s">
        <v>890</v>
      </c>
      <c r="D178" s="15">
        <v>95637</v>
      </c>
      <c r="E178" s="22" t="s">
        <v>454</v>
      </c>
      <c r="F178" s="23" t="s">
        <v>8</v>
      </c>
      <c r="G178" s="45">
        <v>1</v>
      </c>
      <c r="H178" s="61">
        <v>397.05</v>
      </c>
      <c r="I178" s="61">
        <f t="shared" ref="I178:I180" si="79">ROUND(H178*$J$7,2)</f>
        <v>492.34</v>
      </c>
      <c r="J178" s="61">
        <f t="shared" si="78"/>
        <v>492.34</v>
      </c>
    </row>
    <row r="179" spans="3:10">
      <c r="C179" s="16" t="s">
        <v>891</v>
      </c>
      <c r="D179" s="16"/>
      <c r="E179" s="19" t="s">
        <v>134</v>
      </c>
      <c r="F179" s="17"/>
      <c r="G179" s="46"/>
      <c r="H179" s="64"/>
      <c r="I179" s="64"/>
      <c r="J179" s="64"/>
    </row>
    <row r="180" spans="3:10" ht="15" customHeight="1">
      <c r="C180" s="15" t="s">
        <v>892</v>
      </c>
      <c r="D180" s="15" t="s">
        <v>267</v>
      </c>
      <c r="E180" s="22" t="s">
        <v>494</v>
      </c>
      <c r="F180" s="23" t="s">
        <v>8</v>
      </c>
      <c r="G180" s="45">
        <v>2</v>
      </c>
      <c r="H180" s="61">
        <v>4378.8</v>
      </c>
      <c r="I180" s="61">
        <f t="shared" si="79"/>
        <v>5429.71</v>
      </c>
      <c r="J180" s="61">
        <f t="shared" si="78"/>
        <v>10859.42</v>
      </c>
    </row>
    <row r="181" spans="3:10">
      <c r="C181" s="16" t="s">
        <v>893</v>
      </c>
      <c r="D181" s="16"/>
      <c r="E181" s="19" t="s">
        <v>135</v>
      </c>
      <c r="F181" s="17"/>
      <c r="G181" s="46"/>
      <c r="H181" s="64"/>
      <c r="I181" s="64"/>
      <c r="J181" s="64"/>
    </row>
    <row r="182" spans="3:10" ht="45" customHeight="1">
      <c r="C182" s="15" t="s">
        <v>894</v>
      </c>
      <c r="D182" s="15">
        <v>94656</v>
      </c>
      <c r="E182" s="22" t="s">
        <v>136</v>
      </c>
      <c r="F182" s="23" t="s">
        <v>8</v>
      </c>
      <c r="G182" s="45">
        <v>46</v>
      </c>
      <c r="H182" s="61">
        <v>4.96</v>
      </c>
      <c r="I182" s="61">
        <f t="shared" ref="I182:I185" si="80">ROUND(H182*$J$7,2)</f>
        <v>6.15</v>
      </c>
      <c r="J182" s="61">
        <f t="shared" ref="J182:J184" si="81">ROUND(G182*I182,2)</f>
        <v>282.89999999999998</v>
      </c>
    </row>
    <row r="183" spans="3:10" ht="45" customHeight="1">
      <c r="C183" s="15" t="s">
        <v>895</v>
      </c>
      <c r="D183" s="15">
        <v>94666</v>
      </c>
      <c r="E183" s="22" t="s">
        <v>137</v>
      </c>
      <c r="F183" s="23" t="s">
        <v>8</v>
      </c>
      <c r="G183" s="45">
        <v>2</v>
      </c>
      <c r="H183" s="61">
        <v>23.68</v>
      </c>
      <c r="I183" s="61">
        <f t="shared" si="80"/>
        <v>29.36</v>
      </c>
      <c r="J183" s="61">
        <f t="shared" si="81"/>
        <v>58.72</v>
      </c>
    </row>
    <row r="184" spans="3:10" ht="45" customHeight="1">
      <c r="C184" s="15" t="s">
        <v>896</v>
      </c>
      <c r="D184" s="15">
        <v>94668</v>
      </c>
      <c r="E184" s="22" t="s">
        <v>138</v>
      </c>
      <c r="F184" s="23" t="s">
        <v>8</v>
      </c>
      <c r="G184" s="45">
        <v>2</v>
      </c>
      <c r="H184" s="61">
        <v>40.840000000000003</v>
      </c>
      <c r="I184" s="61">
        <f t="shared" si="80"/>
        <v>50.64</v>
      </c>
      <c r="J184" s="61">
        <f t="shared" si="81"/>
        <v>101.28</v>
      </c>
    </row>
    <row r="185" spans="3:10" ht="45" customHeight="1">
      <c r="C185" s="15" t="s">
        <v>897</v>
      </c>
      <c r="D185" s="15">
        <v>94691</v>
      </c>
      <c r="E185" s="22" t="s">
        <v>139</v>
      </c>
      <c r="F185" s="23" t="s">
        <v>8</v>
      </c>
      <c r="G185" s="45">
        <v>12</v>
      </c>
      <c r="H185" s="61">
        <v>12.08</v>
      </c>
      <c r="I185" s="61">
        <f t="shared" si="80"/>
        <v>14.98</v>
      </c>
      <c r="J185" s="61">
        <f t="shared" ref="J185:J195" si="82">ROUND(G185*I185,2)</f>
        <v>179.76</v>
      </c>
    </row>
    <row r="186" spans="3:10" ht="45" customHeight="1">
      <c r="C186" s="15" t="s">
        <v>898</v>
      </c>
      <c r="D186" s="15">
        <v>94698</v>
      </c>
      <c r="E186" s="22" t="s">
        <v>140</v>
      </c>
      <c r="F186" s="23" t="s">
        <v>8</v>
      </c>
      <c r="G186" s="45">
        <v>1</v>
      </c>
      <c r="H186" s="61">
        <v>54.67</v>
      </c>
      <c r="I186" s="61">
        <f t="shared" ref="I186:I195" si="83">ROUND(H186*$J$7,2)</f>
        <v>67.790000000000006</v>
      </c>
      <c r="J186" s="61">
        <f t="shared" si="82"/>
        <v>67.790000000000006</v>
      </c>
    </row>
    <row r="187" spans="3:10" ht="45" customHeight="1">
      <c r="C187" s="15" t="s">
        <v>899</v>
      </c>
      <c r="D187" s="15">
        <v>94710</v>
      </c>
      <c r="E187" s="22" t="s">
        <v>141</v>
      </c>
      <c r="F187" s="23" t="s">
        <v>8</v>
      </c>
      <c r="G187" s="45">
        <v>1</v>
      </c>
      <c r="H187" s="61">
        <v>33.950000000000003</v>
      </c>
      <c r="I187" s="61">
        <f t="shared" si="83"/>
        <v>42.1</v>
      </c>
      <c r="J187" s="61">
        <f t="shared" si="82"/>
        <v>42.1</v>
      </c>
    </row>
    <row r="188" spans="3:10" ht="45" customHeight="1">
      <c r="C188" s="15" t="s">
        <v>900</v>
      </c>
      <c r="D188" s="15">
        <v>94713</v>
      </c>
      <c r="E188" s="22" t="s">
        <v>142</v>
      </c>
      <c r="F188" s="23" t="s">
        <v>8</v>
      </c>
      <c r="G188" s="45">
        <v>2</v>
      </c>
      <c r="H188" s="61">
        <v>133.53</v>
      </c>
      <c r="I188" s="61">
        <f t="shared" si="83"/>
        <v>165.58</v>
      </c>
      <c r="J188" s="61">
        <f t="shared" si="82"/>
        <v>331.16</v>
      </c>
    </row>
    <row r="189" spans="3:10" ht="45" customHeight="1">
      <c r="C189" s="15" t="s">
        <v>901</v>
      </c>
      <c r="D189" s="15">
        <v>94714</v>
      </c>
      <c r="E189" s="22" t="s">
        <v>143</v>
      </c>
      <c r="F189" s="23" t="s">
        <v>8</v>
      </c>
      <c r="G189" s="45">
        <v>2</v>
      </c>
      <c r="H189" s="61">
        <v>179.16</v>
      </c>
      <c r="I189" s="61">
        <f t="shared" si="83"/>
        <v>222.16</v>
      </c>
      <c r="J189" s="61">
        <f t="shared" si="82"/>
        <v>444.32</v>
      </c>
    </row>
    <row r="190" spans="3:10">
      <c r="C190" s="16" t="s">
        <v>902</v>
      </c>
      <c r="D190" s="16"/>
      <c r="E190" s="19" t="s">
        <v>144</v>
      </c>
      <c r="F190" s="17"/>
      <c r="G190" s="46"/>
      <c r="H190" s="64"/>
      <c r="I190" s="64"/>
      <c r="J190" s="64"/>
    </row>
    <row r="191" spans="3:10" ht="30" customHeight="1">
      <c r="C191" s="15" t="s">
        <v>903</v>
      </c>
      <c r="D191" s="15">
        <v>89401</v>
      </c>
      <c r="E191" s="22" t="s">
        <v>145</v>
      </c>
      <c r="F191" s="23" t="s">
        <v>7</v>
      </c>
      <c r="G191" s="45">
        <v>6</v>
      </c>
      <c r="H191" s="61">
        <v>5.84</v>
      </c>
      <c r="I191" s="61">
        <f t="shared" si="83"/>
        <v>7.24</v>
      </c>
      <c r="J191" s="61">
        <f t="shared" si="82"/>
        <v>43.44</v>
      </c>
    </row>
    <row r="192" spans="3:10" ht="30" customHeight="1">
      <c r="C192" s="15" t="s">
        <v>904</v>
      </c>
      <c r="D192" s="15">
        <v>89402</v>
      </c>
      <c r="E192" s="22" t="s">
        <v>146</v>
      </c>
      <c r="F192" s="23" t="s">
        <v>7</v>
      </c>
      <c r="G192" s="45">
        <v>165</v>
      </c>
      <c r="H192" s="61">
        <v>7.04</v>
      </c>
      <c r="I192" s="61">
        <f t="shared" si="83"/>
        <v>8.73</v>
      </c>
      <c r="J192" s="61">
        <f t="shared" si="82"/>
        <v>1440.45</v>
      </c>
    </row>
    <row r="193" spans="3:10" ht="30" customHeight="1">
      <c r="C193" s="15" t="s">
        <v>905</v>
      </c>
      <c r="D193" s="15">
        <v>89403</v>
      </c>
      <c r="E193" s="22" t="s">
        <v>147</v>
      </c>
      <c r="F193" s="23" t="s">
        <v>7</v>
      </c>
      <c r="G193" s="45">
        <v>75</v>
      </c>
      <c r="H193" s="61">
        <v>11.11</v>
      </c>
      <c r="I193" s="61">
        <f t="shared" si="83"/>
        <v>13.78</v>
      </c>
      <c r="J193" s="61">
        <f t="shared" si="82"/>
        <v>1033.5</v>
      </c>
    </row>
    <row r="194" spans="3:10" ht="30" customHeight="1">
      <c r="C194" s="15" t="s">
        <v>906</v>
      </c>
      <c r="D194" s="15">
        <v>89449</v>
      </c>
      <c r="E194" s="22" t="s">
        <v>148</v>
      </c>
      <c r="F194" s="23" t="s">
        <v>7</v>
      </c>
      <c r="G194" s="45">
        <v>50</v>
      </c>
      <c r="H194" s="61">
        <v>10.85</v>
      </c>
      <c r="I194" s="61">
        <f t="shared" si="83"/>
        <v>13.45</v>
      </c>
      <c r="J194" s="61">
        <f t="shared" si="82"/>
        <v>672.5</v>
      </c>
    </row>
    <row r="195" spans="3:10" ht="30" customHeight="1">
      <c r="C195" s="15" t="s">
        <v>907</v>
      </c>
      <c r="D195" s="15">
        <v>89451</v>
      </c>
      <c r="E195" s="22" t="s">
        <v>149</v>
      </c>
      <c r="F195" s="23" t="s">
        <v>7</v>
      </c>
      <c r="G195" s="45">
        <v>2.7</v>
      </c>
      <c r="H195" s="61">
        <v>29.16</v>
      </c>
      <c r="I195" s="61">
        <f t="shared" si="83"/>
        <v>36.159999999999997</v>
      </c>
      <c r="J195" s="61">
        <f t="shared" si="82"/>
        <v>97.63</v>
      </c>
    </row>
    <row r="196" spans="3:10">
      <c r="C196" s="16" t="s">
        <v>908</v>
      </c>
      <c r="D196" s="16"/>
      <c r="E196" s="19" t="s">
        <v>150</v>
      </c>
      <c r="F196" s="17"/>
      <c r="G196" s="46"/>
      <c r="H196" s="64"/>
      <c r="I196" s="64"/>
      <c r="J196" s="64"/>
    </row>
    <row r="197" spans="3:10" ht="30" customHeight="1">
      <c r="C197" s="15" t="s">
        <v>909</v>
      </c>
      <c r="D197" s="15">
        <v>89366</v>
      </c>
      <c r="E197" s="22" t="s">
        <v>151</v>
      </c>
      <c r="F197" s="23" t="s">
        <v>8</v>
      </c>
      <c r="G197" s="45">
        <v>2</v>
      </c>
      <c r="H197" s="61">
        <v>11.51</v>
      </c>
      <c r="I197" s="61">
        <f t="shared" ref="I197:I202" si="84">ROUND(H197*$J$7,2)</f>
        <v>14.27</v>
      </c>
      <c r="J197" s="61">
        <f t="shared" ref="J197:J202" si="85">ROUND(G197*I197,2)</f>
        <v>28.54</v>
      </c>
    </row>
    <row r="198" spans="3:10" ht="30" customHeight="1">
      <c r="C198" s="15" t="s">
        <v>910</v>
      </c>
      <c r="D198" s="15">
        <v>90373</v>
      </c>
      <c r="E198" s="22" t="s">
        <v>152</v>
      </c>
      <c r="F198" s="23" t="s">
        <v>8</v>
      </c>
      <c r="G198" s="45">
        <v>28</v>
      </c>
      <c r="H198" s="61">
        <v>10.76</v>
      </c>
      <c r="I198" s="61">
        <f t="shared" si="84"/>
        <v>13.34</v>
      </c>
      <c r="J198" s="61">
        <f t="shared" si="85"/>
        <v>373.52</v>
      </c>
    </row>
    <row r="199" spans="3:10" ht="30" customHeight="1">
      <c r="C199" s="15" t="s">
        <v>911</v>
      </c>
      <c r="D199" s="15">
        <v>89364</v>
      </c>
      <c r="E199" s="22" t="s">
        <v>153</v>
      </c>
      <c r="F199" s="23" t="s">
        <v>8</v>
      </c>
      <c r="G199" s="45">
        <v>95</v>
      </c>
      <c r="H199" s="61">
        <v>8.76</v>
      </c>
      <c r="I199" s="61">
        <f t="shared" si="84"/>
        <v>10.86</v>
      </c>
      <c r="J199" s="61">
        <f t="shared" si="85"/>
        <v>1031.7</v>
      </c>
    </row>
    <row r="200" spans="3:10" ht="30" customHeight="1">
      <c r="C200" s="15" t="s">
        <v>912</v>
      </c>
      <c r="D200" s="15">
        <v>89369</v>
      </c>
      <c r="E200" s="22" t="s">
        <v>154</v>
      </c>
      <c r="F200" s="23" t="s">
        <v>8</v>
      </c>
      <c r="G200" s="45">
        <v>12</v>
      </c>
      <c r="H200" s="61">
        <v>12.75</v>
      </c>
      <c r="I200" s="61">
        <f t="shared" si="84"/>
        <v>15.81</v>
      </c>
      <c r="J200" s="61">
        <f t="shared" si="85"/>
        <v>189.72</v>
      </c>
    </row>
    <row r="201" spans="3:10" ht="30" customHeight="1">
      <c r="C201" s="15" t="s">
        <v>913</v>
      </c>
      <c r="D201" s="15">
        <v>89397</v>
      </c>
      <c r="E201" s="22" t="s">
        <v>155</v>
      </c>
      <c r="F201" s="23" t="s">
        <v>8</v>
      </c>
      <c r="G201" s="45">
        <v>22</v>
      </c>
      <c r="H201" s="61">
        <v>11.3</v>
      </c>
      <c r="I201" s="61">
        <f t="shared" si="84"/>
        <v>14.01</v>
      </c>
      <c r="J201" s="61">
        <f t="shared" si="85"/>
        <v>308.22000000000003</v>
      </c>
    </row>
    <row r="202" spans="3:10" ht="30" customHeight="1">
      <c r="C202" s="15" t="s">
        <v>914</v>
      </c>
      <c r="D202" s="15">
        <v>89400</v>
      </c>
      <c r="E202" s="22" t="s">
        <v>156</v>
      </c>
      <c r="F202" s="23" t="s">
        <v>8</v>
      </c>
      <c r="G202" s="45">
        <v>12</v>
      </c>
      <c r="H202" s="61">
        <v>15.14</v>
      </c>
      <c r="I202" s="61">
        <f t="shared" si="84"/>
        <v>18.77</v>
      </c>
      <c r="J202" s="61">
        <f t="shared" si="85"/>
        <v>225.24</v>
      </c>
    </row>
    <row r="203" spans="3:10">
      <c r="C203" s="16" t="s">
        <v>915</v>
      </c>
      <c r="D203" s="16"/>
      <c r="E203" s="19" t="s">
        <v>157</v>
      </c>
      <c r="F203" s="17"/>
      <c r="G203" s="46"/>
      <c r="H203" s="64"/>
      <c r="I203" s="64"/>
      <c r="J203" s="64"/>
    </row>
    <row r="204" spans="3:10" ht="45" customHeight="1">
      <c r="C204" s="15" t="s">
        <v>916</v>
      </c>
      <c r="D204" s="15">
        <v>89429</v>
      </c>
      <c r="E204" s="22" t="s">
        <v>158</v>
      </c>
      <c r="F204" s="23" t="s">
        <v>8</v>
      </c>
      <c r="G204" s="45">
        <v>46</v>
      </c>
      <c r="H204" s="61">
        <v>3.77</v>
      </c>
      <c r="I204" s="61">
        <f t="shared" ref="I204:I207" si="86">ROUND(H204*$J$7,2)</f>
        <v>4.67</v>
      </c>
      <c r="J204" s="61">
        <f t="shared" ref="J204:J207" si="87">ROUND(G204*I204,2)</f>
        <v>214.82</v>
      </c>
    </row>
    <row r="205" spans="3:10" ht="30" customHeight="1">
      <c r="C205" s="15" t="s">
        <v>917</v>
      </c>
      <c r="D205" s="15">
        <v>89428</v>
      </c>
      <c r="E205" s="22" t="s">
        <v>159</v>
      </c>
      <c r="F205" s="23" t="s">
        <v>8</v>
      </c>
      <c r="G205" s="45">
        <v>1</v>
      </c>
      <c r="H205" s="61">
        <v>9.06</v>
      </c>
      <c r="I205" s="61">
        <f t="shared" si="86"/>
        <v>11.23</v>
      </c>
      <c r="J205" s="61">
        <f t="shared" si="87"/>
        <v>11.23</v>
      </c>
    </row>
    <row r="206" spans="3:10" ht="30" customHeight="1">
      <c r="C206" s="15" t="s">
        <v>918</v>
      </c>
      <c r="D206" s="15">
        <v>89435</v>
      </c>
      <c r="E206" s="22" t="s">
        <v>160</v>
      </c>
      <c r="F206" s="23" t="s">
        <v>8</v>
      </c>
      <c r="G206" s="45">
        <v>1</v>
      </c>
      <c r="H206" s="61">
        <v>13.53</v>
      </c>
      <c r="I206" s="61">
        <f t="shared" si="86"/>
        <v>16.78</v>
      </c>
      <c r="J206" s="61">
        <f t="shared" si="87"/>
        <v>16.78</v>
      </c>
    </row>
    <row r="207" spans="3:10" ht="30" customHeight="1">
      <c r="C207" s="15" t="s">
        <v>919</v>
      </c>
      <c r="D207" s="15">
        <v>89440</v>
      </c>
      <c r="E207" s="22" t="s">
        <v>161</v>
      </c>
      <c r="F207" s="23" t="s">
        <v>8</v>
      </c>
      <c r="G207" s="45">
        <v>29</v>
      </c>
      <c r="H207" s="61">
        <v>6.82</v>
      </c>
      <c r="I207" s="61">
        <f t="shared" si="86"/>
        <v>8.4600000000000009</v>
      </c>
      <c r="J207" s="61">
        <f t="shared" si="87"/>
        <v>245.34</v>
      </c>
    </row>
    <row r="208" spans="3:10">
      <c r="C208" s="16" t="s">
        <v>920</v>
      </c>
      <c r="D208" s="16"/>
      <c r="E208" s="19" t="s">
        <v>162</v>
      </c>
      <c r="F208" s="17"/>
      <c r="G208" s="46"/>
      <c r="H208" s="64"/>
      <c r="I208" s="64"/>
      <c r="J208" s="64"/>
    </row>
    <row r="209" spans="3:19" ht="30" customHeight="1">
      <c r="C209" s="15" t="s">
        <v>921</v>
      </c>
      <c r="D209" s="15">
        <v>89613</v>
      </c>
      <c r="E209" s="22" t="s">
        <v>163</v>
      </c>
      <c r="F209" s="23" t="s">
        <v>8</v>
      </c>
      <c r="G209" s="45">
        <v>2</v>
      </c>
      <c r="H209" s="61">
        <v>20.64</v>
      </c>
      <c r="I209" s="61">
        <f t="shared" ref="I209:I213" si="88">ROUND(H209*$J$7,2)</f>
        <v>25.59</v>
      </c>
      <c r="J209" s="61">
        <f t="shared" ref="J209:J211" si="89">ROUND(G209*I209,2)</f>
        <v>51.18</v>
      </c>
    </row>
    <row r="210" spans="3:19" ht="30" customHeight="1">
      <c r="C210" s="15" t="s">
        <v>922</v>
      </c>
      <c r="D210" s="15">
        <v>89616</v>
      </c>
      <c r="E210" s="22" t="s">
        <v>164</v>
      </c>
      <c r="F210" s="23" t="s">
        <v>8</v>
      </c>
      <c r="G210" s="45">
        <v>2</v>
      </c>
      <c r="H210" s="61">
        <v>29.36</v>
      </c>
      <c r="I210" s="61">
        <f t="shared" si="88"/>
        <v>36.409999999999997</v>
      </c>
      <c r="J210" s="61">
        <f t="shared" si="89"/>
        <v>72.819999999999993</v>
      </c>
    </row>
    <row r="211" spans="3:19" ht="30" customHeight="1">
      <c r="C211" s="15" t="s">
        <v>923</v>
      </c>
      <c r="D211" s="15">
        <v>89503</v>
      </c>
      <c r="E211" s="22" t="s">
        <v>165</v>
      </c>
      <c r="F211" s="23" t="s">
        <v>8</v>
      </c>
      <c r="G211" s="45">
        <v>11</v>
      </c>
      <c r="H211" s="61">
        <v>16.39</v>
      </c>
      <c r="I211" s="61">
        <f t="shared" si="88"/>
        <v>20.32</v>
      </c>
      <c r="J211" s="61">
        <f t="shared" si="89"/>
        <v>223.52</v>
      </c>
    </row>
    <row r="212" spans="3:19" ht="30" customHeight="1">
      <c r="C212" s="15" t="s">
        <v>924</v>
      </c>
      <c r="D212" s="15">
        <v>89625</v>
      </c>
      <c r="E212" s="22" t="s">
        <v>166</v>
      </c>
      <c r="F212" s="23" t="s">
        <v>8</v>
      </c>
      <c r="G212" s="45">
        <v>9</v>
      </c>
      <c r="H212" s="61">
        <v>15.53</v>
      </c>
      <c r="I212" s="61">
        <f t="shared" si="88"/>
        <v>19.260000000000002</v>
      </c>
      <c r="J212" s="61">
        <f t="shared" ref="J212:J213" si="90">ROUND(G212*I212,2)</f>
        <v>173.34</v>
      </c>
    </row>
    <row r="213" spans="3:19" ht="30" customHeight="1">
      <c r="C213" s="15" t="s">
        <v>925</v>
      </c>
      <c r="D213" s="15">
        <v>89629</v>
      </c>
      <c r="E213" s="22" t="s">
        <v>167</v>
      </c>
      <c r="F213" s="23" t="s">
        <v>8</v>
      </c>
      <c r="G213" s="45">
        <v>2</v>
      </c>
      <c r="H213" s="61">
        <v>55.5</v>
      </c>
      <c r="I213" s="61">
        <f t="shared" si="88"/>
        <v>68.819999999999993</v>
      </c>
      <c r="J213" s="61">
        <f t="shared" si="90"/>
        <v>137.63999999999999</v>
      </c>
    </row>
    <row r="214" spans="3:19">
      <c r="C214" s="16" t="s">
        <v>926</v>
      </c>
      <c r="D214" s="16"/>
      <c r="E214" s="19" t="s">
        <v>168</v>
      </c>
      <c r="F214" s="17"/>
      <c r="G214" s="46"/>
      <c r="H214" s="64"/>
      <c r="I214" s="64"/>
      <c r="J214" s="64"/>
    </row>
    <row r="215" spans="3:19" ht="45" customHeight="1">
      <c r="C215" s="15" t="s">
        <v>927</v>
      </c>
      <c r="D215" s="15">
        <v>91792</v>
      </c>
      <c r="E215" s="22" t="s">
        <v>169</v>
      </c>
      <c r="F215" s="23" t="s">
        <v>7</v>
      </c>
      <c r="G215" s="45">
        <v>41</v>
      </c>
      <c r="H215" s="61">
        <v>45.92</v>
      </c>
      <c r="I215" s="61">
        <f t="shared" ref="I215:I218" si="91">ROUND(H215*$J$7,2)</f>
        <v>56.94</v>
      </c>
      <c r="J215" s="61">
        <f t="shared" ref="J215:J218" si="92">ROUND(G215*I215,2)</f>
        <v>2334.54</v>
      </c>
    </row>
    <row r="216" spans="3:19" ht="45" customHeight="1">
      <c r="C216" s="15" t="s">
        <v>928</v>
      </c>
      <c r="D216" s="15">
        <v>91793</v>
      </c>
      <c r="E216" s="22" t="s">
        <v>170</v>
      </c>
      <c r="F216" s="23" t="s">
        <v>7</v>
      </c>
      <c r="G216" s="45">
        <f>29+67</f>
        <v>96</v>
      </c>
      <c r="H216" s="61">
        <v>66.39</v>
      </c>
      <c r="I216" s="61">
        <f t="shared" si="91"/>
        <v>82.32</v>
      </c>
      <c r="J216" s="61">
        <f t="shared" si="92"/>
        <v>7902.72</v>
      </c>
    </row>
    <row r="217" spans="3:19" ht="45" customHeight="1">
      <c r="C217" s="15" t="s">
        <v>929</v>
      </c>
      <c r="D217" s="15">
        <v>91794</v>
      </c>
      <c r="E217" s="22" t="s">
        <v>306</v>
      </c>
      <c r="F217" s="23" t="s">
        <v>7</v>
      </c>
      <c r="G217" s="45">
        <v>20</v>
      </c>
      <c r="H217" s="61">
        <v>29.51</v>
      </c>
      <c r="I217" s="61">
        <f t="shared" ref="I217" si="93">ROUND(H217*$J$7,2)</f>
        <v>36.590000000000003</v>
      </c>
      <c r="J217" s="61">
        <f t="shared" ref="J217" si="94">ROUND(G217*I217,2)</f>
        <v>731.8</v>
      </c>
    </row>
    <row r="218" spans="3:19" ht="60" customHeight="1">
      <c r="C218" s="15" t="s">
        <v>930</v>
      </c>
      <c r="D218" s="15">
        <v>91795</v>
      </c>
      <c r="E218" s="22" t="s">
        <v>171</v>
      </c>
      <c r="F218" s="23" t="s">
        <v>7</v>
      </c>
      <c r="G218" s="45">
        <v>91</v>
      </c>
      <c r="H218" s="61">
        <v>50.55</v>
      </c>
      <c r="I218" s="61">
        <f t="shared" si="91"/>
        <v>62.68</v>
      </c>
      <c r="J218" s="61">
        <f t="shared" si="92"/>
        <v>5703.88</v>
      </c>
    </row>
    <row r="219" spans="3:19">
      <c r="C219" s="16" t="s">
        <v>931</v>
      </c>
      <c r="D219" s="16"/>
      <c r="E219" s="19" t="s">
        <v>172</v>
      </c>
      <c r="F219" s="17"/>
      <c r="G219" s="46"/>
      <c r="H219" s="64"/>
      <c r="I219" s="64"/>
      <c r="J219" s="64"/>
    </row>
    <row r="220" spans="3:19" s="109" customFormat="1" ht="45" customHeight="1">
      <c r="C220" s="15" t="s">
        <v>932</v>
      </c>
      <c r="D220" s="15">
        <v>91791</v>
      </c>
      <c r="E220" s="50" t="s">
        <v>173</v>
      </c>
      <c r="F220" s="51" t="s">
        <v>7</v>
      </c>
      <c r="G220" s="52">
        <v>146</v>
      </c>
      <c r="H220" s="63">
        <v>60.64</v>
      </c>
      <c r="I220" s="63">
        <f t="shared" ref="I220" si="95">ROUND(H220*$J$7,2)</f>
        <v>75.19</v>
      </c>
      <c r="J220" s="63">
        <f t="shared" ref="J220" si="96">ROUND(G220*I220,2)</f>
        <v>10977.74</v>
      </c>
      <c r="N220" s="286" t="s">
        <v>675</v>
      </c>
      <c r="O220" s="286"/>
      <c r="P220" s="286"/>
      <c r="Q220" s="286"/>
      <c r="R220" s="286"/>
      <c r="S220" s="286"/>
    </row>
    <row r="221" spans="3:19">
      <c r="C221" s="36" t="s">
        <v>933</v>
      </c>
      <c r="D221" s="36"/>
      <c r="E221" s="19" t="s">
        <v>174</v>
      </c>
      <c r="F221" s="17"/>
      <c r="G221" s="46"/>
      <c r="H221" s="64"/>
      <c r="I221" s="64"/>
      <c r="J221" s="64"/>
    </row>
    <row r="222" spans="3:19" ht="45" customHeight="1">
      <c r="C222" s="15" t="s">
        <v>934</v>
      </c>
      <c r="D222" s="15">
        <v>73658</v>
      </c>
      <c r="E222" s="22" t="s">
        <v>175</v>
      </c>
      <c r="F222" s="23" t="s">
        <v>8</v>
      </c>
      <c r="G222" s="45">
        <v>1</v>
      </c>
      <c r="H222" s="61">
        <v>546.01</v>
      </c>
      <c r="I222" s="61">
        <f t="shared" ref="I222:I225" si="97">ROUND(H222*$J$7,2)</f>
        <v>677.05</v>
      </c>
      <c r="J222" s="61">
        <f t="shared" ref="J222:J235" si="98">ROUND(G222*I222,2)</f>
        <v>677.05</v>
      </c>
    </row>
    <row r="223" spans="3:19">
      <c r="C223" s="16" t="s">
        <v>7</v>
      </c>
      <c r="D223" s="16"/>
      <c r="E223" s="19" t="s">
        <v>176</v>
      </c>
      <c r="F223" s="17"/>
      <c r="G223" s="46"/>
      <c r="H223" s="64"/>
      <c r="I223" s="64"/>
      <c r="J223" s="228">
        <f>SUM(J224:J257)</f>
        <v>39973.78</v>
      </c>
    </row>
    <row r="224" spans="3:19">
      <c r="C224" s="16" t="s">
        <v>796</v>
      </c>
      <c r="D224" s="16"/>
      <c r="E224" s="19" t="s">
        <v>177</v>
      </c>
      <c r="F224" s="17"/>
      <c r="G224" s="46"/>
      <c r="H224" s="64"/>
      <c r="I224" s="64"/>
      <c r="J224" s="64"/>
    </row>
    <row r="225" spans="3:10" ht="30" customHeight="1">
      <c r="C225" s="15" t="s">
        <v>935</v>
      </c>
      <c r="D225" s="15">
        <v>86884</v>
      </c>
      <c r="E225" s="22" t="s">
        <v>178</v>
      </c>
      <c r="F225" s="23" t="s">
        <v>8</v>
      </c>
      <c r="G225" s="45">
        <f>G230+G232+G233+G235</f>
        <v>29</v>
      </c>
      <c r="H225" s="61">
        <v>7.59</v>
      </c>
      <c r="I225" s="61">
        <f t="shared" si="97"/>
        <v>9.41</v>
      </c>
      <c r="J225" s="61">
        <f t="shared" si="98"/>
        <v>272.89</v>
      </c>
    </row>
    <row r="226" spans="3:10">
      <c r="C226" s="16" t="s">
        <v>936</v>
      </c>
      <c r="D226" s="16"/>
      <c r="E226" s="19" t="s">
        <v>179</v>
      </c>
      <c r="F226" s="17"/>
      <c r="G226" s="46"/>
      <c r="H226" s="64"/>
      <c r="I226" s="64"/>
      <c r="J226" s="64"/>
    </row>
    <row r="227" spans="3:10" ht="30" customHeight="1">
      <c r="C227" s="15" t="s">
        <v>937</v>
      </c>
      <c r="D227" s="15" t="s">
        <v>267</v>
      </c>
      <c r="E227" s="22" t="s">
        <v>432</v>
      </c>
      <c r="F227" s="23" t="s">
        <v>6</v>
      </c>
      <c r="G227" s="45">
        <f>1.42*6</f>
        <v>8.52</v>
      </c>
      <c r="H227" s="61">
        <v>600.29999999999995</v>
      </c>
      <c r="I227" s="61">
        <f t="shared" ref="I227:I238" si="99">ROUND(H227*$J$7,2)</f>
        <v>744.37</v>
      </c>
      <c r="J227" s="61">
        <f t="shared" si="98"/>
        <v>6342.03</v>
      </c>
    </row>
    <row r="228" spans="3:10" ht="30" customHeight="1">
      <c r="C228" s="15" t="s">
        <v>938</v>
      </c>
      <c r="D228" s="15">
        <v>86889</v>
      </c>
      <c r="E228" s="22" t="s">
        <v>181</v>
      </c>
      <c r="F228" s="23" t="s">
        <v>8</v>
      </c>
      <c r="G228" s="45">
        <v>3</v>
      </c>
      <c r="H228" s="61">
        <v>419.61</v>
      </c>
      <c r="I228" s="61">
        <f t="shared" si="99"/>
        <v>520.32000000000005</v>
      </c>
      <c r="J228" s="61">
        <f t="shared" si="98"/>
        <v>1560.96</v>
      </c>
    </row>
    <row r="229" spans="3:10">
      <c r="C229" s="16" t="s">
        <v>939</v>
      </c>
      <c r="D229" s="16"/>
      <c r="E229" s="19" t="s">
        <v>182</v>
      </c>
      <c r="F229" s="17"/>
      <c r="G229" s="46"/>
      <c r="H229" s="64"/>
      <c r="I229" s="64"/>
      <c r="J229" s="64"/>
    </row>
    <row r="230" spans="3:10" ht="45" customHeight="1">
      <c r="C230" s="15" t="s">
        <v>940</v>
      </c>
      <c r="D230" s="15">
        <v>86919</v>
      </c>
      <c r="E230" s="22" t="s">
        <v>183</v>
      </c>
      <c r="F230" s="23" t="s">
        <v>8</v>
      </c>
      <c r="G230" s="45">
        <v>3</v>
      </c>
      <c r="H230" s="61">
        <v>765.46</v>
      </c>
      <c r="I230" s="61">
        <f t="shared" si="99"/>
        <v>949.17</v>
      </c>
      <c r="J230" s="61">
        <f t="shared" si="98"/>
        <v>2847.51</v>
      </c>
    </row>
    <row r="231" spans="3:10">
      <c r="C231" s="16" t="s">
        <v>941</v>
      </c>
      <c r="D231" s="16"/>
      <c r="E231" s="19" t="s">
        <v>184</v>
      </c>
      <c r="F231" s="17"/>
      <c r="G231" s="46"/>
      <c r="H231" s="64"/>
      <c r="I231" s="64"/>
      <c r="J231" s="64"/>
    </row>
    <row r="232" spans="3:10" ht="30" customHeight="1">
      <c r="C232" s="15" t="s">
        <v>942</v>
      </c>
      <c r="D232" s="15">
        <v>86935</v>
      </c>
      <c r="E232" s="22" t="s">
        <v>185</v>
      </c>
      <c r="F232" s="23" t="s">
        <v>8</v>
      </c>
      <c r="G232" s="45">
        <v>3</v>
      </c>
      <c r="H232" s="61">
        <v>201.58</v>
      </c>
      <c r="I232" s="61">
        <f t="shared" si="99"/>
        <v>249.96</v>
      </c>
      <c r="J232" s="61">
        <f t="shared" si="98"/>
        <v>749.88</v>
      </c>
    </row>
    <row r="233" spans="3:10" ht="30" customHeight="1">
      <c r="C233" s="15" t="s">
        <v>943</v>
      </c>
      <c r="D233" s="15">
        <v>86937</v>
      </c>
      <c r="E233" s="22" t="s">
        <v>186</v>
      </c>
      <c r="F233" s="23" t="s">
        <v>8</v>
      </c>
      <c r="G233" s="45">
        <v>19</v>
      </c>
      <c r="H233" s="61">
        <v>157.63</v>
      </c>
      <c r="I233" s="61">
        <f t="shared" si="99"/>
        <v>195.46</v>
      </c>
      <c r="J233" s="61">
        <f t="shared" si="98"/>
        <v>3713.74</v>
      </c>
    </row>
    <row r="234" spans="3:10">
      <c r="C234" s="16" t="s">
        <v>944</v>
      </c>
      <c r="D234" s="16"/>
      <c r="E234" s="19" t="s">
        <v>187</v>
      </c>
      <c r="F234" s="17"/>
      <c r="G234" s="46"/>
      <c r="H234" s="64"/>
      <c r="I234" s="64"/>
      <c r="J234" s="64"/>
    </row>
    <row r="235" spans="3:10" ht="60" customHeight="1">
      <c r="C235" s="15" t="s">
        <v>945</v>
      </c>
      <c r="D235" s="15">
        <v>86942</v>
      </c>
      <c r="E235" s="22" t="s">
        <v>188</v>
      </c>
      <c r="F235" s="23" t="s">
        <v>8</v>
      </c>
      <c r="G235" s="45">
        <v>4</v>
      </c>
      <c r="H235" s="61">
        <v>197.99</v>
      </c>
      <c r="I235" s="61">
        <f t="shared" si="99"/>
        <v>245.51</v>
      </c>
      <c r="J235" s="61">
        <f t="shared" si="98"/>
        <v>982.04</v>
      </c>
    </row>
    <row r="236" spans="3:10">
      <c r="C236" s="16" t="s">
        <v>946</v>
      </c>
      <c r="D236" s="16"/>
      <c r="E236" s="19" t="s">
        <v>189</v>
      </c>
      <c r="F236" s="17"/>
      <c r="G236" s="46"/>
      <c r="H236" s="64"/>
      <c r="I236" s="64"/>
      <c r="J236" s="64"/>
    </row>
    <row r="237" spans="3:10" ht="30" customHeight="1">
      <c r="C237" s="15" t="s">
        <v>947</v>
      </c>
      <c r="D237" s="15">
        <v>86906</v>
      </c>
      <c r="E237" s="22" t="s">
        <v>190</v>
      </c>
      <c r="F237" s="23" t="s">
        <v>8</v>
      </c>
      <c r="G237" s="45">
        <v>18</v>
      </c>
      <c r="H237" s="61">
        <v>45.06</v>
      </c>
      <c r="I237" s="61">
        <f t="shared" si="99"/>
        <v>55.87</v>
      </c>
      <c r="J237" s="61">
        <f t="shared" ref="J237:J247" si="100">ROUND(G237*I237,2)</f>
        <v>1005.66</v>
      </c>
    </row>
    <row r="238" spans="3:10" ht="30" customHeight="1">
      <c r="C238" s="15" t="s">
        <v>948</v>
      </c>
      <c r="D238" s="15">
        <v>86911</v>
      </c>
      <c r="E238" s="22" t="s">
        <v>191</v>
      </c>
      <c r="F238" s="23" t="s">
        <v>8</v>
      </c>
      <c r="G238" s="45">
        <v>3</v>
      </c>
      <c r="H238" s="61">
        <v>38.409999999999997</v>
      </c>
      <c r="I238" s="61">
        <f t="shared" si="99"/>
        <v>47.63</v>
      </c>
      <c r="J238" s="61">
        <f t="shared" si="100"/>
        <v>142.88999999999999</v>
      </c>
    </row>
    <row r="239" spans="3:10">
      <c r="C239" s="16" t="s">
        <v>949</v>
      </c>
      <c r="D239" s="16"/>
      <c r="E239" s="19" t="s">
        <v>192</v>
      </c>
      <c r="F239" s="17"/>
      <c r="G239" s="46"/>
      <c r="H239" s="64"/>
      <c r="I239" s="64"/>
      <c r="J239" s="64"/>
    </row>
    <row r="240" spans="3:10" ht="30" customHeight="1">
      <c r="C240" s="15" t="s">
        <v>950</v>
      </c>
      <c r="D240" s="15">
        <v>86931</v>
      </c>
      <c r="E240" s="22" t="s">
        <v>193</v>
      </c>
      <c r="F240" s="23" t="s">
        <v>8</v>
      </c>
      <c r="G240" s="45">
        <v>19</v>
      </c>
      <c r="H240" s="61">
        <v>422.5</v>
      </c>
      <c r="I240" s="61">
        <f t="shared" ref="I240:I248" si="101">ROUND(H240*$J$7,2)</f>
        <v>523.9</v>
      </c>
      <c r="J240" s="61">
        <f t="shared" si="100"/>
        <v>9954.1</v>
      </c>
    </row>
    <row r="241" spans="3:10" ht="45" customHeight="1">
      <c r="C241" s="15" t="s">
        <v>951</v>
      </c>
      <c r="D241" s="15">
        <v>95472</v>
      </c>
      <c r="E241" s="22" t="s">
        <v>194</v>
      </c>
      <c r="F241" s="23" t="s">
        <v>8</v>
      </c>
      <c r="G241" s="45">
        <v>3</v>
      </c>
      <c r="H241" s="61">
        <v>724.29</v>
      </c>
      <c r="I241" s="61">
        <f t="shared" si="101"/>
        <v>898.12</v>
      </c>
      <c r="J241" s="61">
        <f t="shared" si="100"/>
        <v>2694.36</v>
      </c>
    </row>
    <row r="242" spans="3:10">
      <c r="C242" s="16" t="s">
        <v>952</v>
      </c>
      <c r="D242" s="16"/>
      <c r="E242" s="19" t="s">
        <v>562</v>
      </c>
      <c r="F242" s="17"/>
      <c r="G242" s="46"/>
      <c r="H242" s="64"/>
      <c r="I242" s="64"/>
      <c r="J242" s="64"/>
    </row>
    <row r="243" spans="3:10" ht="15" customHeight="1">
      <c r="C243" s="55" t="s">
        <v>953</v>
      </c>
      <c r="D243" s="55" t="s">
        <v>267</v>
      </c>
      <c r="E243" s="56" t="str">
        <f>COMPOSIÇÕES!D260</f>
        <v>BARRA DE APOIO - 90 CM</v>
      </c>
      <c r="F243" s="57" t="s">
        <v>8</v>
      </c>
      <c r="G243" s="58">
        <v>6</v>
      </c>
      <c r="H243" s="65">
        <v>199.06</v>
      </c>
      <c r="I243" s="65">
        <f t="shared" si="101"/>
        <v>246.83</v>
      </c>
      <c r="J243" s="65">
        <f t="shared" si="100"/>
        <v>1480.98</v>
      </c>
    </row>
    <row r="244" spans="3:10" ht="15" customHeight="1">
      <c r="C244" s="55" t="s">
        <v>954</v>
      </c>
      <c r="D244" s="55">
        <v>95544</v>
      </c>
      <c r="E244" s="56" t="s">
        <v>195</v>
      </c>
      <c r="F244" s="57" t="s">
        <v>8</v>
      </c>
      <c r="G244" s="58">
        <v>6</v>
      </c>
      <c r="H244" s="65">
        <v>40.65</v>
      </c>
      <c r="I244" s="65">
        <f t="shared" si="101"/>
        <v>50.41</v>
      </c>
      <c r="J244" s="65">
        <f t="shared" si="100"/>
        <v>302.45999999999998</v>
      </c>
    </row>
    <row r="245" spans="3:10">
      <c r="C245" s="16" t="s">
        <v>955</v>
      </c>
      <c r="D245" s="16"/>
      <c r="E245" s="19" t="s">
        <v>196</v>
      </c>
      <c r="F245" s="17"/>
      <c r="G245" s="46"/>
      <c r="H245" s="64"/>
      <c r="I245" s="64"/>
      <c r="J245" s="64"/>
    </row>
    <row r="246" spans="3:10" ht="45" customHeight="1">
      <c r="C246" s="15" t="s">
        <v>956</v>
      </c>
      <c r="D246" s="15">
        <v>94498</v>
      </c>
      <c r="E246" s="22" t="s">
        <v>197</v>
      </c>
      <c r="F246" s="23" t="s">
        <v>8</v>
      </c>
      <c r="G246" s="45">
        <v>2</v>
      </c>
      <c r="H246" s="61">
        <v>119.58</v>
      </c>
      <c r="I246" s="61">
        <f t="shared" si="101"/>
        <v>148.28</v>
      </c>
      <c r="J246" s="61">
        <f t="shared" si="100"/>
        <v>296.56</v>
      </c>
    </row>
    <row r="247" spans="3:10" ht="45" customHeight="1">
      <c r="C247" s="15" t="s">
        <v>957</v>
      </c>
      <c r="D247" s="15">
        <v>94500</v>
      </c>
      <c r="E247" s="22" t="s">
        <v>198</v>
      </c>
      <c r="F247" s="23" t="s">
        <v>8</v>
      </c>
      <c r="G247" s="45">
        <v>2</v>
      </c>
      <c r="H247" s="61">
        <v>252.73</v>
      </c>
      <c r="I247" s="61">
        <f t="shared" si="101"/>
        <v>313.39</v>
      </c>
      <c r="J247" s="61">
        <f t="shared" si="100"/>
        <v>626.78</v>
      </c>
    </row>
    <row r="248" spans="3:10" ht="30" customHeight="1">
      <c r="C248" s="15" t="s">
        <v>958</v>
      </c>
      <c r="D248" s="15">
        <v>89987</v>
      </c>
      <c r="E248" s="22" t="s">
        <v>199</v>
      </c>
      <c r="F248" s="23" t="s">
        <v>8</v>
      </c>
      <c r="G248" s="45">
        <v>23</v>
      </c>
      <c r="H248" s="61">
        <v>66.900000000000006</v>
      </c>
      <c r="I248" s="61">
        <f t="shared" si="101"/>
        <v>82.96</v>
      </c>
      <c r="J248" s="61">
        <f t="shared" ref="J248:J255" si="102">ROUND(G248*I248,2)</f>
        <v>1908.08</v>
      </c>
    </row>
    <row r="249" spans="3:10">
      <c r="C249" s="16" t="s">
        <v>959</v>
      </c>
      <c r="D249" s="16"/>
      <c r="E249" s="19" t="s">
        <v>200</v>
      </c>
      <c r="F249" s="17"/>
      <c r="G249" s="46"/>
      <c r="H249" s="64"/>
      <c r="I249" s="64"/>
      <c r="J249" s="64"/>
    </row>
    <row r="250" spans="3:10" ht="41.25" customHeight="1">
      <c r="C250" s="15" t="s">
        <v>960</v>
      </c>
      <c r="D250" s="15">
        <v>35277</v>
      </c>
      <c r="E250" s="22" t="s">
        <v>241</v>
      </c>
      <c r="F250" s="23" t="s">
        <v>8</v>
      </c>
      <c r="G250" s="45">
        <v>2</v>
      </c>
      <c r="H250" s="61">
        <v>409.41</v>
      </c>
      <c r="I250" s="61">
        <f t="shared" ref="I250:I257" si="103">ROUND(H250*$J$7,2)</f>
        <v>507.67</v>
      </c>
      <c r="J250" s="61">
        <f t="shared" si="102"/>
        <v>1015.34</v>
      </c>
    </row>
    <row r="251" spans="3:10">
      <c r="C251" s="16" t="s">
        <v>961</v>
      </c>
      <c r="D251" s="16"/>
      <c r="E251" s="19" t="s">
        <v>201</v>
      </c>
      <c r="F251" s="17"/>
      <c r="G251" s="46"/>
      <c r="H251" s="64"/>
      <c r="I251" s="64"/>
      <c r="J251" s="64"/>
    </row>
    <row r="252" spans="3:10" ht="30" customHeight="1">
      <c r="C252" s="15" t="s">
        <v>962</v>
      </c>
      <c r="D252" s="15" t="s">
        <v>202</v>
      </c>
      <c r="E252" s="22" t="s">
        <v>203</v>
      </c>
      <c r="F252" s="23" t="s">
        <v>8</v>
      </c>
      <c r="G252" s="45">
        <v>3</v>
      </c>
      <c r="H252" s="61">
        <v>192.78</v>
      </c>
      <c r="I252" s="61">
        <f t="shared" si="103"/>
        <v>239.05</v>
      </c>
      <c r="J252" s="61">
        <f t="shared" si="102"/>
        <v>717.15</v>
      </c>
    </row>
    <row r="253" spans="3:10" ht="30" customHeight="1">
      <c r="C253" s="15" t="s">
        <v>963</v>
      </c>
      <c r="D253" s="15">
        <v>97906</v>
      </c>
      <c r="E253" s="22" t="s">
        <v>204</v>
      </c>
      <c r="F253" s="23" t="s">
        <v>8</v>
      </c>
      <c r="G253" s="45">
        <v>5</v>
      </c>
      <c r="H253" s="61">
        <v>344.24</v>
      </c>
      <c r="I253" s="61">
        <f t="shared" si="103"/>
        <v>426.86</v>
      </c>
      <c r="J253" s="61">
        <f t="shared" si="102"/>
        <v>2134.3000000000002</v>
      </c>
    </row>
    <row r="254" spans="3:10">
      <c r="C254" s="16" t="s">
        <v>964</v>
      </c>
      <c r="D254" s="16"/>
      <c r="E254" s="19" t="s">
        <v>205</v>
      </c>
      <c r="F254" s="17"/>
      <c r="G254" s="46"/>
      <c r="H254" s="64"/>
      <c r="I254" s="64"/>
      <c r="J254" s="64"/>
    </row>
    <row r="255" spans="3:10" ht="30" customHeight="1">
      <c r="C255" s="15" t="s">
        <v>965</v>
      </c>
      <c r="D255" s="15">
        <v>89708</v>
      </c>
      <c r="E255" s="22" t="s">
        <v>206</v>
      </c>
      <c r="F255" s="23" t="s">
        <v>8</v>
      </c>
      <c r="G255" s="45">
        <v>13</v>
      </c>
      <c r="H255" s="61">
        <v>52.09</v>
      </c>
      <c r="I255" s="61">
        <f t="shared" si="103"/>
        <v>64.59</v>
      </c>
      <c r="J255" s="61">
        <f t="shared" si="102"/>
        <v>839.67</v>
      </c>
    </row>
    <row r="256" spans="3:10">
      <c r="C256" s="16" t="s">
        <v>966</v>
      </c>
      <c r="D256" s="16"/>
      <c r="E256" s="19" t="s">
        <v>207</v>
      </c>
      <c r="F256" s="17"/>
      <c r="G256" s="46"/>
      <c r="H256" s="64"/>
      <c r="I256" s="64"/>
      <c r="J256" s="64"/>
    </row>
    <row r="257" spans="3:15" ht="30" customHeight="1">
      <c r="C257" s="15" t="s">
        <v>967</v>
      </c>
      <c r="D257" s="15">
        <v>89707</v>
      </c>
      <c r="E257" s="22" t="s">
        <v>575</v>
      </c>
      <c r="F257" s="23" t="s">
        <v>8</v>
      </c>
      <c r="G257" s="45">
        <v>12</v>
      </c>
      <c r="H257" s="61">
        <v>25.97</v>
      </c>
      <c r="I257" s="61">
        <f t="shared" si="103"/>
        <v>32.200000000000003</v>
      </c>
      <c r="J257" s="61">
        <f t="shared" ref="J257" si="104">ROUND(G257*I257,2)</f>
        <v>386.4</v>
      </c>
    </row>
    <row r="258" spans="3:15">
      <c r="C258" s="16" t="s">
        <v>743</v>
      </c>
      <c r="D258" s="16"/>
      <c r="E258" s="19" t="s">
        <v>208</v>
      </c>
      <c r="F258" s="17"/>
      <c r="G258" s="46"/>
      <c r="H258" s="64"/>
      <c r="I258" s="64"/>
      <c r="J258" s="228">
        <f>SUM(J259:J281)</f>
        <v>393164.02666666667</v>
      </c>
    </row>
    <row r="259" spans="3:15">
      <c r="C259" s="16" t="s">
        <v>968</v>
      </c>
      <c r="D259" s="16"/>
      <c r="E259" s="19" t="s">
        <v>209</v>
      </c>
      <c r="F259" s="17"/>
      <c r="G259" s="46"/>
      <c r="H259" s="64"/>
      <c r="I259" s="64"/>
      <c r="J259" s="64"/>
    </row>
    <row r="260" spans="3:15" ht="45" customHeight="1">
      <c r="C260" s="15" t="s">
        <v>969</v>
      </c>
      <c r="D260" s="15">
        <v>87889</v>
      </c>
      <c r="E260" s="22" t="s">
        <v>210</v>
      </c>
      <c r="F260" s="23" t="s">
        <v>6</v>
      </c>
      <c r="G260" s="45">
        <f>1370.16*2</f>
        <v>2740.32</v>
      </c>
      <c r="H260" s="61">
        <v>4.7</v>
      </c>
      <c r="I260" s="61">
        <f t="shared" ref="I260:I262" si="105">ROUND(H260*$J$7,2)</f>
        <v>5.83</v>
      </c>
      <c r="J260" s="61">
        <f t="shared" ref="J260:J262" si="106">ROUND(G260*I260,2)</f>
        <v>15976.07</v>
      </c>
    </row>
    <row r="261" spans="3:15">
      <c r="C261" s="16" t="s">
        <v>970</v>
      </c>
      <c r="D261" s="16"/>
      <c r="E261" s="19" t="s">
        <v>211</v>
      </c>
      <c r="F261" s="17"/>
      <c r="G261" s="46"/>
      <c r="H261" s="64"/>
      <c r="I261" s="64"/>
      <c r="J261" s="64"/>
    </row>
    <row r="262" spans="3:15" s="76" customFormat="1" ht="54" customHeight="1">
      <c r="C262" s="15" t="s">
        <v>971</v>
      </c>
      <c r="D262" s="15">
        <v>87547</v>
      </c>
      <c r="E262" s="22" t="s">
        <v>604</v>
      </c>
      <c r="F262" s="23" t="s">
        <v>6</v>
      </c>
      <c r="G262" s="45">
        <f>G260-G265</f>
        <v>2525.5500000000002</v>
      </c>
      <c r="H262" s="61">
        <v>17.41</v>
      </c>
      <c r="I262" s="61">
        <f t="shared" si="105"/>
        <v>21.59</v>
      </c>
      <c r="J262" s="61">
        <f t="shared" si="106"/>
        <v>54526.62</v>
      </c>
      <c r="N262" s="76" t="s">
        <v>605</v>
      </c>
      <c r="O262" s="76" t="s">
        <v>606</v>
      </c>
    </row>
    <row r="263" spans="3:15" ht="60">
      <c r="C263" s="15" t="s">
        <v>972</v>
      </c>
      <c r="D263" s="15">
        <v>87553</v>
      </c>
      <c r="E263" s="22" t="s">
        <v>572</v>
      </c>
      <c r="F263" s="23" t="s">
        <v>6</v>
      </c>
      <c r="G263" s="45">
        <v>439.76</v>
      </c>
      <c r="H263" s="61">
        <v>11.79</v>
      </c>
      <c r="I263" s="61">
        <f t="shared" ref="I263" si="107">ROUND(H263*$J$7,2)</f>
        <v>14.62</v>
      </c>
      <c r="J263" s="61">
        <f t="shared" ref="J263" si="108">ROUND(G263*I263,2)</f>
        <v>6429.29</v>
      </c>
    </row>
    <row r="264" spans="3:15">
      <c r="C264" s="16" t="s">
        <v>973</v>
      </c>
      <c r="D264" s="16"/>
      <c r="E264" s="19" t="s">
        <v>212</v>
      </c>
      <c r="F264" s="17"/>
      <c r="G264" s="46"/>
      <c r="H264" s="64"/>
      <c r="I264" s="64"/>
      <c r="J264" s="64"/>
    </row>
    <row r="265" spans="3:15" s="76" customFormat="1" ht="60" customHeight="1">
      <c r="C265" s="15" t="s">
        <v>974</v>
      </c>
      <c r="D265" s="15" t="s">
        <v>601</v>
      </c>
      <c r="E265" s="22" t="s">
        <v>600</v>
      </c>
      <c r="F265" s="23" t="s">
        <v>6</v>
      </c>
      <c r="G265" s="45">
        <v>214.77</v>
      </c>
      <c r="H265" s="61">
        <v>78.849999999999994</v>
      </c>
      <c r="I265" s="61">
        <f t="shared" ref="I265" si="109">ROUND(H265*$J$7,2)</f>
        <v>97.77</v>
      </c>
      <c r="J265" s="61">
        <f t="shared" ref="J265" si="110">ROUND(G265*I265,2)</f>
        <v>20998.06</v>
      </c>
      <c r="N265" s="76" t="s">
        <v>602</v>
      </c>
      <c r="O265" s="76" t="s">
        <v>603</v>
      </c>
    </row>
    <row r="266" spans="3:15">
      <c r="C266" s="16" t="s">
        <v>975</v>
      </c>
      <c r="D266" s="16"/>
      <c r="E266" s="19" t="s">
        <v>977</v>
      </c>
      <c r="F266" s="17"/>
      <c r="G266" s="46"/>
      <c r="H266" s="64"/>
      <c r="I266" s="64"/>
      <c r="J266" s="64"/>
    </row>
    <row r="267" spans="3:15" ht="33" customHeight="1">
      <c r="C267" s="15" t="s">
        <v>976</v>
      </c>
      <c r="D267" s="15">
        <v>96114</v>
      </c>
      <c r="E267" s="50" t="s">
        <v>1073</v>
      </c>
      <c r="F267" s="51" t="s">
        <v>6</v>
      </c>
      <c r="G267" s="52">
        <v>1209.8800000000001</v>
      </c>
      <c r="H267" s="63">
        <v>60.88</v>
      </c>
      <c r="I267" s="63">
        <f t="shared" ref="I267" si="111">ROUND(H267*$J$7,2)</f>
        <v>75.489999999999995</v>
      </c>
      <c r="J267" s="63">
        <f t="shared" ref="J267" si="112">ROUND(G267*I267,2)</f>
        <v>91333.84</v>
      </c>
      <c r="K267" s="3" t="s">
        <v>556</v>
      </c>
      <c r="N267" s="3">
        <v>54142</v>
      </c>
    </row>
    <row r="268" spans="3:15">
      <c r="C268" s="16" t="s">
        <v>978</v>
      </c>
      <c r="D268" s="16"/>
      <c r="E268" s="19" t="s">
        <v>389</v>
      </c>
      <c r="F268" s="17"/>
      <c r="G268" s="46"/>
      <c r="H268" s="64"/>
      <c r="I268" s="64"/>
      <c r="J268" s="64"/>
    </row>
    <row r="269" spans="3:15" ht="30" customHeight="1">
      <c r="C269" s="15" t="s">
        <v>979</v>
      </c>
      <c r="D269" s="15">
        <v>96396</v>
      </c>
      <c r="E269" s="22" t="s">
        <v>388</v>
      </c>
      <c r="F269" s="23" t="s">
        <v>13</v>
      </c>
      <c r="G269" s="45">
        <f>(362+46.26+36.72)*0.1</f>
        <v>44.498000000000005</v>
      </c>
      <c r="H269" s="61">
        <v>83.81</v>
      </c>
      <c r="I269" s="61">
        <f t="shared" ref="I269:I286" si="113">ROUND(H269*$J$7,2)</f>
        <v>103.92</v>
      </c>
      <c r="J269" s="61">
        <f t="shared" ref="J269:J284" si="114">ROUND(G269*I269,2)</f>
        <v>4624.2299999999996</v>
      </c>
    </row>
    <row r="270" spans="3:15" ht="30" customHeight="1">
      <c r="C270" s="15" t="s">
        <v>980</v>
      </c>
      <c r="D270" s="15">
        <v>94997</v>
      </c>
      <c r="E270" s="22" t="s">
        <v>576</v>
      </c>
      <c r="F270" s="23" t="s">
        <v>6</v>
      </c>
      <c r="G270" s="45">
        <f>362+46.26+36.72</f>
        <v>444.98</v>
      </c>
      <c r="H270" s="61">
        <v>67.88</v>
      </c>
      <c r="I270" s="61">
        <f t="shared" ref="I270" si="115">ROUND(H270*$J$7,2)</f>
        <v>84.17</v>
      </c>
      <c r="J270" s="61">
        <f t="shared" ref="J270" si="116">ROUND(G270*I270,2)</f>
        <v>37453.97</v>
      </c>
    </row>
    <row r="271" spans="3:15">
      <c r="C271" s="16" t="s">
        <v>981</v>
      </c>
      <c r="D271" s="16"/>
      <c r="E271" s="19" t="s">
        <v>409</v>
      </c>
      <c r="F271" s="17"/>
      <c r="G271" s="46"/>
      <c r="H271" s="64"/>
      <c r="I271" s="64"/>
      <c r="J271" s="64"/>
    </row>
    <row r="272" spans="3:15" ht="50.25" customHeight="1">
      <c r="C272" s="15" t="s">
        <v>982</v>
      </c>
      <c r="D272" s="15">
        <v>94779</v>
      </c>
      <c r="E272" s="22" t="s">
        <v>577</v>
      </c>
      <c r="F272" s="23" t="s">
        <v>6</v>
      </c>
      <c r="G272" s="45">
        <v>866.56</v>
      </c>
      <c r="H272" s="61">
        <v>31.29</v>
      </c>
      <c r="I272" s="61">
        <f t="shared" si="113"/>
        <v>38.799999999999997</v>
      </c>
      <c r="J272" s="61">
        <f t="shared" si="114"/>
        <v>33622.53</v>
      </c>
    </row>
    <row r="273" spans="3:15">
      <c r="C273" s="16" t="s">
        <v>983</v>
      </c>
      <c r="D273" s="16"/>
      <c r="E273" s="19" t="s">
        <v>213</v>
      </c>
      <c r="F273" s="17"/>
      <c r="G273" s="46"/>
      <c r="H273" s="64"/>
      <c r="I273" s="64"/>
      <c r="J273" s="64"/>
    </row>
    <row r="274" spans="3:15" ht="36" customHeight="1">
      <c r="C274" s="15" t="s">
        <v>984</v>
      </c>
      <c r="D274" s="15">
        <v>87263</v>
      </c>
      <c r="E274" s="22" t="s">
        <v>568</v>
      </c>
      <c r="F274" s="23" t="s">
        <v>6</v>
      </c>
      <c r="G274" s="45">
        <v>69.599999999999994</v>
      </c>
      <c r="H274" s="61">
        <v>80.760000000000005</v>
      </c>
      <c r="I274" s="61">
        <f t="shared" ref="I274" si="117">ROUND(H274*$J$7,2)</f>
        <v>100.14</v>
      </c>
      <c r="J274" s="61">
        <f t="shared" ref="J274" si="118">ROUND(G274*I274,2)</f>
        <v>6969.74</v>
      </c>
    </row>
    <row r="275" spans="3:15">
      <c r="C275" s="16" t="s">
        <v>985</v>
      </c>
      <c r="D275" s="16"/>
      <c r="E275" s="19" t="s">
        <v>214</v>
      </c>
      <c r="F275" s="17"/>
      <c r="G275" s="46"/>
      <c r="H275" s="64"/>
      <c r="I275" s="64"/>
      <c r="J275" s="64"/>
    </row>
    <row r="276" spans="3:15" ht="45">
      <c r="C276" s="15" t="s">
        <v>986</v>
      </c>
      <c r="D276" s="15" t="s">
        <v>267</v>
      </c>
      <c r="E276" s="50" t="str">
        <f>'COMP. GRANIT.'!B9</f>
        <v>EXECUÇÃO DE PISO EM GRANILITE, FULGET (ÁREAS EXTERNAS) E RODAPÉS. ESPESSURA DE 8MM E CORES CONFORME ESPECIFICAÇÕES DO PROJETO E LAYOUT DE PAGINAÇÃO DE PISO TOTALIZANDO 1178M². USO DE CIMENTO BRANCO.</v>
      </c>
      <c r="F276" s="51" t="s">
        <v>8</v>
      </c>
      <c r="G276" s="52">
        <v>1</v>
      </c>
      <c r="H276" s="63">
        <f>'COMP. GRANIT.'!I12</f>
        <v>103293.66666666667</v>
      </c>
      <c r="I276" s="63" t="s">
        <v>676</v>
      </c>
      <c r="J276" s="63">
        <f>H276</f>
        <v>103293.66666666667</v>
      </c>
    </row>
    <row r="277" spans="3:15">
      <c r="C277" s="16" t="s">
        <v>987</v>
      </c>
      <c r="D277" s="16"/>
      <c r="E277" s="19" t="s">
        <v>218</v>
      </c>
      <c r="F277" s="17"/>
      <c r="G277" s="46"/>
      <c r="H277" s="64"/>
      <c r="I277" s="64"/>
      <c r="J277" s="64"/>
    </row>
    <row r="278" spans="3:15" ht="15" customHeight="1">
      <c r="C278" s="15" t="s">
        <v>988</v>
      </c>
      <c r="D278" s="15">
        <v>98689</v>
      </c>
      <c r="E278" s="22" t="s">
        <v>219</v>
      </c>
      <c r="F278" s="23" t="s">
        <v>7</v>
      </c>
      <c r="G278" s="45">
        <f>0.95*6</f>
        <v>5.6999999999999993</v>
      </c>
      <c r="H278" s="61">
        <v>64.930000000000007</v>
      </c>
      <c r="I278" s="61">
        <f t="shared" si="113"/>
        <v>80.510000000000005</v>
      </c>
      <c r="J278" s="61">
        <f t="shared" si="114"/>
        <v>458.91</v>
      </c>
    </row>
    <row r="279" spans="3:15">
      <c r="C279" s="16" t="s">
        <v>990</v>
      </c>
      <c r="D279" s="16"/>
      <c r="E279" s="19" t="s">
        <v>989</v>
      </c>
      <c r="F279" s="17"/>
      <c r="G279" s="46"/>
      <c r="H279" s="64"/>
      <c r="I279" s="64"/>
      <c r="J279" s="64"/>
    </row>
    <row r="280" spans="3:15" ht="18.75" customHeight="1">
      <c r="C280" s="15" t="s">
        <v>991</v>
      </c>
      <c r="D280" s="15" t="s">
        <v>267</v>
      </c>
      <c r="E280" s="22" t="str">
        <f>COMPOSIÇÕES!D98</f>
        <v>PISO DIRECIONAL INOX - CONFORME PROJETO</v>
      </c>
      <c r="F280" s="23" t="s">
        <v>7</v>
      </c>
      <c r="G280" s="45">
        <f>6.75+3.5+(1.5*3)+4.25+(3.75*2)+(0.75*2)+0.35+0.06+3+6-0.75+10+6.36-0.75+6.5-0.75-0.75+(1.4*2)+11.25-0.45+5.5-0.9+(0.75*2)+(1.4*2)+4.5</f>
        <v>84.269999999999982</v>
      </c>
      <c r="H280" s="61">
        <v>116.78</v>
      </c>
      <c r="I280" s="61">
        <f t="shared" ref="I280" si="119">ROUND(H280*$J$7,2)</f>
        <v>144.81</v>
      </c>
      <c r="J280" s="61">
        <f t="shared" ref="J280" si="120">ROUND(G280*I280,2)</f>
        <v>12203.14</v>
      </c>
    </row>
    <row r="281" spans="3:15" ht="18.75" customHeight="1">
      <c r="C281" s="15" t="s">
        <v>992</v>
      </c>
      <c r="D281" s="15" t="s">
        <v>267</v>
      </c>
      <c r="E281" s="22" t="s">
        <v>397</v>
      </c>
      <c r="F281" s="23" t="s">
        <v>6</v>
      </c>
      <c r="G281" s="45">
        <f>ROUND((0.75*0.75*3)+(0.75*0.25*8)+(0.75*0.5*7)+(0.5*0.5*5)+(0.25*1*6)+(2*0.25*3),2)</f>
        <v>10.06</v>
      </c>
      <c r="H281" s="61">
        <v>422.78</v>
      </c>
      <c r="I281" s="61">
        <f t="shared" ref="I281" si="121">ROUND(H281*$J$7,2)</f>
        <v>524.25</v>
      </c>
      <c r="J281" s="61">
        <f t="shared" ref="J281" si="122">ROUND(G281*I281,2)</f>
        <v>5273.96</v>
      </c>
    </row>
    <row r="282" spans="3:15">
      <c r="C282" s="16" t="s">
        <v>993</v>
      </c>
      <c r="D282" s="16"/>
      <c r="E282" s="19" t="s">
        <v>220</v>
      </c>
      <c r="F282" s="17"/>
      <c r="G282" s="46"/>
      <c r="H282" s="64"/>
      <c r="I282" s="64"/>
      <c r="J282" s="228">
        <f>SUM(J283:J293)</f>
        <v>113221.28</v>
      </c>
    </row>
    <row r="283" spans="3:15">
      <c r="C283" s="16" t="s">
        <v>994</v>
      </c>
      <c r="D283" s="16"/>
      <c r="E283" s="19" t="s">
        <v>221</v>
      </c>
      <c r="F283" s="17"/>
      <c r="G283" s="46"/>
      <c r="H283" s="64"/>
      <c r="I283" s="64"/>
      <c r="J283" s="64"/>
    </row>
    <row r="284" spans="3:15" s="76" customFormat="1" ht="15" customHeight="1">
      <c r="C284" s="15" t="s">
        <v>995</v>
      </c>
      <c r="D284" s="15">
        <v>88495</v>
      </c>
      <c r="E284" s="22" t="s">
        <v>598</v>
      </c>
      <c r="F284" s="23" t="s">
        <v>6</v>
      </c>
      <c r="G284" s="45">
        <v>2026.14</v>
      </c>
      <c r="H284" s="61">
        <v>10.64</v>
      </c>
      <c r="I284" s="61">
        <f t="shared" si="113"/>
        <v>13.19</v>
      </c>
      <c r="J284" s="61">
        <f t="shared" si="114"/>
        <v>26724.79</v>
      </c>
      <c r="O284" s="76" t="s">
        <v>599</v>
      </c>
    </row>
    <row r="285" spans="3:15">
      <c r="C285" s="16" t="s">
        <v>996</v>
      </c>
      <c r="D285" s="16"/>
      <c r="E285" s="19" t="s">
        <v>222</v>
      </c>
      <c r="F285" s="17"/>
      <c r="G285" s="46"/>
      <c r="H285" s="64"/>
      <c r="I285" s="64"/>
      <c r="J285" s="64"/>
    </row>
    <row r="286" spans="3:15" ht="15" customHeight="1">
      <c r="C286" s="15" t="s">
        <v>997</v>
      </c>
      <c r="D286" s="15">
        <v>88485</v>
      </c>
      <c r="E286" s="22" t="s">
        <v>223</v>
      </c>
      <c r="F286" s="23" t="s">
        <v>6</v>
      </c>
      <c r="G286" s="45">
        <v>2026.14</v>
      </c>
      <c r="H286" s="61">
        <v>2.2200000000000002</v>
      </c>
      <c r="I286" s="61">
        <f t="shared" si="113"/>
        <v>2.75</v>
      </c>
      <c r="J286" s="61">
        <f t="shared" ref="J286:J291" si="123">ROUND(G286*I286,2)</f>
        <v>5571.89</v>
      </c>
    </row>
    <row r="287" spans="3:15" ht="15" customHeight="1">
      <c r="C287" s="15" t="s">
        <v>998</v>
      </c>
      <c r="D287" s="15">
        <v>88484</v>
      </c>
      <c r="E287" s="22" t="s">
        <v>571</v>
      </c>
      <c r="F287" s="23" t="s">
        <v>6</v>
      </c>
      <c r="G287" s="45">
        <v>1209.8800000000001</v>
      </c>
      <c r="H287" s="61">
        <v>2.58</v>
      </c>
      <c r="I287" s="61">
        <f t="shared" ref="I287" si="124">ROUND(H287*$J$7,2)</f>
        <v>3.2</v>
      </c>
      <c r="J287" s="61">
        <f t="shared" ref="J287" si="125">ROUND(G287*I287,2)</f>
        <v>3871.62</v>
      </c>
    </row>
    <row r="288" spans="3:15">
      <c r="C288" s="16" t="s">
        <v>999</v>
      </c>
      <c r="D288" s="16"/>
      <c r="E288" s="19" t="s">
        <v>224</v>
      </c>
      <c r="F288" s="17"/>
      <c r="G288" s="46"/>
      <c r="H288" s="64"/>
      <c r="I288" s="64"/>
      <c r="J288" s="64"/>
    </row>
    <row r="289" spans="3:15" ht="15.75" customHeight="1">
      <c r="C289" s="15" t="s">
        <v>1000</v>
      </c>
      <c r="D289" s="15">
        <v>95464</v>
      </c>
      <c r="E289" s="22" t="s">
        <v>535</v>
      </c>
      <c r="F289" s="23" t="s">
        <v>6</v>
      </c>
      <c r="G289" s="45">
        <f>((2*2.1*3)+(1.8*2.1*7)+(0.9*2.1*12)+(0.8*2.1*3)+(2.35*2.1)+(1.6*2.1)+(1.8*2.1*4))*2.5</f>
        <v>225.48750000000001</v>
      </c>
      <c r="H289" s="61">
        <v>21.96</v>
      </c>
      <c r="I289" s="61">
        <f t="shared" ref="I289:I293" si="126">ROUND(H289*$J$7,2)</f>
        <v>27.23</v>
      </c>
      <c r="J289" s="61">
        <f t="shared" si="123"/>
        <v>6140.02</v>
      </c>
    </row>
    <row r="290" spans="3:15">
      <c r="C290" s="16" t="s">
        <v>1001</v>
      </c>
      <c r="D290" s="16"/>
      <c r="E290" s="19" t="s">
        <v>225</v>
      </c>
      <c r="F290" s="17"/>
      <c r="G290" s="46"/>
      <c r="H290" s="64"/>
      <c r="I290" s="64"/>
      <c r="J290" s="64"/>
    </row>
    <row r="291" spans="3:15" ht="36" customHeight="1">
      <c r="C291" s="15" t="s">
        <v>1002</v>
      </c>
      <c r="D291" s="15">
        <v>95622</v>
      </c>
      <c r="E291" s="22" t="s">
        <v>370</v>
      </c>
      <c r="F291" s="23" t="s">
        <v>6</v>
      </c>
      <c r="G291" s="45">
        <v>2026.14</v>
      </c>
      <c r="H291" s="61">
        <v>12.18</v>
      </c>
      <c r="I291" s="61">
        <f t="shared" ref="I291" si="127">ROUND(H291*$J$7,2)</f>
        <v>15.1</v>
      </c>
      <c r="J291" s="61">
        <f t="shared" si="123"/>
        <v>30594.71</v>
      </c>
    </row>
    <row r="292" spans="3:15" ht="28.5" customHeight="1">
      <c r="C292" s="15" t="s">
        <v>1003</v>
      </c>
      <c r="D292" s="15">
        <v>88488</v>
      </c>
      <c r="E292" s="22" t="s">
        <v>570</v>
      </c>
      <c r="F292" s="23" t="s">
        <v>6</v>
      </c>
      <c r="G292" s="52">
        <v>1209.8800000000001</v>
      </c>
      <c r="H292" s="61">
        <v>13.21</v>
      </c>
      <c r="I292" s="61">
        <f t="shared" ref="I292" si="128">ROUND(H292*$J$7,2)</f>
        <v>16.38</v>
      </c>
      <c r="J292" s="61">
        <f t="shared" ref="J292" si="129">ROUND(G292*I292,2)</f>
        <v>19817.830000000002</v>
      </c>
    </row>
    <row r="293" spans="3:15" ht="30" customHeight="1">
      <c r="C293" s="15" t="s">
        <v>1004</v>
      </c>
      <c r="D293" s="15">
        <v>88420</v>
      </c>
      <c r="E293" s="22" t="s">
        <v>226</v>
      </c>
      <c r="F293" s="23" t="s">
        <v>6</v>
      </c>
      <c r="G293" s="45">
        <f>(83.6*3.75)+(85.2*3.75)+(85.2*3.75)-((18*2.8)*2)</f>
        <v>851.7</v>
      </c>
      <c r="H293" s="61">
        <v>19.41</v>
      </c>
      <c r="I293" s="61">
        <f t="shared" si="126"/>
        <v>24.07</v>
      </c>
      <c r="J293" s="61">
        <f t="shared" ref="J293:J303" si="130">ROUND(G293*I293,2)</f>
        <v>20500.419999999998</v>
      </c>
    </row>
    <row r="294" spans="3:15">
      <c r="C294" s="16" t="s">
        <v>723</v>
      </c>
      <c r="D294" s="16"/>
      <c r="E294" s="19" t="s">
        <v>227</v>
      </c>
      <c r="F294" s="17"/>
      <c r="G294" s="46"/>
      <c r="H294" s="64"/>
      <c r="I294" s="64"/>
      <c r="J294" s="228">
        <f>SUM(J296:J303)</f>
        <v>34280.639999999999</v>
      </c>
    </row>
    <row r="295" spans="3:15">
      <c r="C295" s="16" t="s">
        <v>727</v>
      </c>
      <c r="D295" s="16"/>
      <c r="E295" s="19" t="s">
        <v>228</v>
      </c>
      <c r="F295" s="17"/>
      <c r="G295" s="46"/>
      <c r="H295" s="64"/>
      <c r="I295" s="64"/>
      <c r="J295" s="64"/>
    </row>
    <row r="296" spans="3:15" ht="30" customHeight="1">
      <c r="C296" s="15" t="s">
        <v>1005</v>
      </c>
      <c r="D296" s="15">
        <v>96396</v>
      </c>
      <c r="E296" s="22" t="s">
        <v>229</v>
      </c>
      <c r="F296" s="23" t="s">
        <v>13</v>
      </c>
      <c r="G296" s="45">
        <f>387.12*0.1</f>
        <v>38.712000000000003</v>
      </c>
      <c r="H296" s="61">
        <v>83.81</v>
      </c>
      <c r="I296" s="61">
        <f t="shared" ref="I296:I303" si="131">ROUND(H296*$J$7,2)</f>
        <v>103.92</v>
      </c>
      <c r="J296" s="61">
        <f t="shared" si="130"/>
        <v>4022.95</v>
      </c>
    </row>
    <row r="297" spans="3:15">
      <c r="C297" s="16" t="s">
        <v>729</v>
      </c>
      <c r="D297" s="16"/>
      <c r="E297" s="19" t="s">
        <v>230</v>
      </c>
      <c r="F297" s="17"/>
      <c r="G297" s="46"/>
      <c r="H297" s="64"/>
      <c r="I297" s="64"/>
      <c r="J297" s="64"/>
    </row>
    <row r="298" spans="3:15" ht="45">
      <c r="C298" s="15" t="s">
        <v>1006</v>
      </c>
      <c r="D298" s="15">
        <v>94275</v>
      </c>
      <c r="E298" s="50" t="s">
        <v>417</v>
      </c>
      <c r="F298" s="51" t="s">
        <v>7</v>
      </c>
      <c r="G298" s="52">
        <f>119+46</f>
        <v>165</v>
      </c>
      <c r="H298" s="63">
        <v>39.1</v>
      </c>
      <c r="I298" s="63">
        <f t="shared" si="131"/>
        <v>48.48</v>
      </c>
      <c r="J298" s="63">
        <f t="shared" si="130"/>
        <v>7999.2</v>
      </c>
      <c r="K298" s="3" t="s">
        <v>558</v>
      </c>
      <c r="N298" s="76" t="s">
        <v>683</v>
      </c>
    </row>
    <row r="299" spans="3:15">
      <c r="C299" s="16" t="s">
        <v>1007</v>
      </c>
      <c r="D299" s="16"/>
      <c r="E299" s="19" t="s">
        <v>216</v>
      </c>
      <c r="F299" s="17"/>
      <c r="G299" s="46"/>
      <c r="H299" s="64"/>
      <c r="I299" s="64"/>
      <c r="J299" s="64"/>
    </row>
    <row r="300" spans="3:15" ht="30" customHeight="1">
      <c r="C300" s="15" t="s">
        <v>1008</v>
      </c>
      <c r="D300" s="15">
        <v>92397</v>
      </c>
      <c r="E300" s="22" t="s">
        <v>217</v>
      </c>
      <c r="F300" s="23" t="s">
        <v>6</v>
      </c>
      <c r="G300" s="45">
        <v>358.09</v>
      </c>
      <c r="H300" s="61">
        <v>43.28</v>
      </c>
      <c r="I300" s="61">
        <f>ROUND(H300*$J$7,2)</f>
        <v>53.67</v>
      </c>
      <c r="J300" s="61">
        <f>ROUND(G300*I300,2)</f>
        <v>19218.689999999999</v>
      </c>
    </row>
    <row r="301" spans="3:15" ht="30" customHeight="1">
      <c r="C301" s="15" t="s">
        <v>1009</v>
      </c>
      <c r="D301" s="15">
        <v>93679</v>
      </c>
      <c r="E301" s="22" t="s">
        <v>411</v>
      </c>
      <c r="F301" s="23" t="s">
        <v>6</v>
      </c>
      <c r="G301" s="45">
        <v>30</v>
      </c>
      <c r="H301" s="61">
        <v>59</v>
      </c>
      <c r="I301" s="61">
        <f t="shared" ref="I301" si="132">ROUND(H301*$J$7,2)</f>
        <v>73.16</v>
      </c>
      <c r="J301" s="61">
        <f t="shared" ref="J301" si="133">ROUND(G301*I301,2)</f>
        <v>2194.8000000000002</v>
      </c>
    </row>
    <row r="302" spans="3:15">
      <c r="C302" s="16" t="s">
        <v>1010</v>
      </c>
      <c r="D302" s="16"/>
      <c r="E302" s="19" t="s">
        <v>231</v>
      </c>
      <c r="F302" s="17"/>
      <c r="G302" s="46"/>
      <c r="H302" s="64"/>
      <c r="I302" s="64"/>
      <c r="J302" s="64"/>
    </row>
    <row r="303" spans="3:15" ht="15" customHeight="1">
      <c r="C303" s="15" t="s">
        <v>1011</v>
      </c>
      <c r="D303" s="15">
        <v>85179</v>
      </c>
      <c r="E303" s="22" t="s">
        <v>232</v>
      </c>
      <c r="F303" s="23" t="s">
        <v>6</v>
      </c>
      <c r="G303" s="45">
        <v>50</v>
      </c>
      <c r="H303" s="61">
        <v>13.63</v>
      </c>
      <c r="I303" s="61">
        <f t="shared" si="131"/>
        <v>16.899999999999999</v>
      </c>
      <c r="J303" s="61">
        <f t="shared" si="130"/>
        <v>845</v>
      </c>
      <c r="O303" s="85">
        <f>SUM(J11,J14,J21,J30,J38,J64,J67,J69,J135,J149,J157,J172,J223,J258,J282,J294)</f>
        <v>1465038.2966666666</v>
      </c>
    </row>
    <row r="304" spans="3:15" ht="6" customHeight="1"/>
    <row r="305" spans="3:15" ht="30">
      <c r="C305" s="285" t="s">
        <v>269</v>
      </c>
      <c r="D305" s="285"/>
      <c r="E305" s="285"/>
      <c r="F305" s="285"/>
      <c r="G305" s="285"/>
      <c r="H305" s="285"/>
      <c r="I305" s="285"/>
      <c r="J305" s="60">
        <f>SUM(J11,J14,J21,J30,J38,J64,J67,J69,J135,J149,J157,J172,J223,J258,J282,J294)</f>
        <v>1465038.2966666666</v>
      </c>
      <c r="N305" s="77" t="s">
        <v>597</v>
      </c>
      <c r="O305" s="77">
        <v>1279024.57</v>
      </c>
    </row>
    <row r="310" spans="3:15" ht="18.75" customHeight="1">
      <c r="E310" s="132" t="s">
        <v>709</v>
      </c>
      <c r="F310" s="267"/>
      <c r="G310" s="267"/>
      <c r="H310" s="267"/>
      <c r="I310" s="267"/>
      <c r="J310" s="267"/>
    </row>
    <row r="311" spans="3:15" ht="18.75" customHeight="1">
      <c r="E311" s="133" t="s">
        <v>708</v>
      </c>
      <c r="F311" s="268"/>
      <c r="G311" s="268"/>
      <c r="H311" s="268"/>
      <c r="I311" s="268"/>
      <c r="J311" s="268"/>
    </row>
    <row r="312" spans="3:15" ht="18.75" customHeight="1">
      <c r="E312" s="132" t="s">
        <v>710</v>
      </c>
      <c r="F312" s="267"/>
      <c r="G312" s="267"/>
      <c r="H312" s="267"/>
      <c r="I312" s="267"/>
      <c r="J312" s="267"/>
    </row>
    <row r="320" spans="3:15" ht="15.75" thickBot="1"/>
    <row r="321" spans="7:16" ht="15.75" thickTop="1">
      <c r="G321" s="289" t="s">
        <v>698</v>
      </c>
      <c r="H321" s="288" t="s">
        <v>696</v>
      </c>
      <c r="I321" s="288"/>
      <c r="J321" s="125">
        <v>679000</v>
      </c>
    </row>
    <row r="322" spans="7:16" ht="15.75" thickBot="1">
      <c r="G322" s="290"/>
      <c r="H322" s="287" t="s">
        <v>697</v>
      </c>
      <c r="I322" s="287"/>
      <c r="J322" s="126">
        <v>196000</v>
      </c>
      <c r="N322" s="85"/>
      <c r="O322" s="85"/>
      <c r="P322" s="85"/>
    </row>
    <row r="323" spans="7:16" ht="30.75" customHeight="1" thickTop="1">
      <c r="H323" s="288" t="s">
        <v>695</v>
      </c>
      <c r="I323" s="288"/>
      <c r="J323" s="113">
        <f>SUM(J321:J322)</f>
        <v>875000</v>
      </c>
      <c r="N323" s="77">
        <f>J305*0.07</f>
        <v>102552.68076666667</v>
      </c>
      <c r="O323" s="292" t="s">
        <v>705</v>
      </c>
      <c r="P323" s="292"/>
    </row>
    <row r="324" spans="7:16">
      <c r="G324" s="284" t="s">
        <v>702</v>
      </c>
      <c r="H324" s="284"/>
      <c r="I324" s="284"/>
      <c r="J324" s="128">
        <f>J305</f>
        <v>1465038.2966666666</v>
      </c>
      <c r="N324" s="77"/>
      <c r="O324" s="124"/>
    </row>
    <row r="325" spans="7:16" ht="15.75" thickBot="1">
      <c r="G325" s="266" t="s">
        <v>1012</v>
      </c>
      <c r="H325" s="266"/>
      <c r="I325" s="266"/>
      <c r="J325" s="113">
        <f>J305-N323</f>
        <v>1362485.6158999999</v>
      </c>
    </row>
    <row r="326" spans="7:16" ht="16.5" thickTop="1" thickBot="1">
      <c r="G326" s="281" t="s">
        <v>699</v>
      </c>
      <c r="H326" s="282"/>
      <c r="I326" s="282"/>
      <c r="J326" s="127">
        <f>J325+J323</f>
        <v>2237485.6158999996</v>
      </c>
      <c r="N326" s="129" t="s">
        <v>703</v>
      </c>
      <c r="O326" s="130">
        <v>2203000</v>
      </c>
    </row>
    <row r="327" spans="7:16" ht="15.75" thickTop="1"/>
  </sheetData>
  <sheetProtection autoFilter="0"/>
  <mergeCells count="35">
    <mergeCell ref="G326:I326"/>
    <mergeCell ref="N10:T10"/>
    <mergeCell ref="G324:I324"/>
    <mergeCell ref="C305:I305"/>
    <mergeCell ref="N220:S220"/>
    <mergeCell ref="H322:I322"/>
    <mergeCell ref="H321:I321"/>
    <mergeCell ref="G321:G322"/>
    <mergeCell ref="N48:O48"/>
    <mergeCell ref="N34:R34"/>
    <mergeCell ref="S34:V34"/>
    <mergeCell ref="O37:R37"/>
    <mergeCell ref="O323:P323"/>
    <mergeCell ref="H323:I323"/>
    <mergeCell ref="D1:D3"/>
    <mergeCell ref="D8:D9"/>
    <mergeCell ref="C4:D4"/>
    <mergeCell ref="C5:D5"/>
    <mergeCell ref="G325:I325"/>
    <mergeCell ref="C6:D6"/>
    <mergeCell ref="F310:J310"/>
    <mergeCell ref="F311:J311"/>
    <mergeCell ref="F312:J312"/>
    <mergeCell ref="C1:C3"/>
    <mergeCell ref="E1:K1"/>
    <mergeCell ref="E2:K2"/>
    <mergeCell ref="E3:K3"/>
    <mergeCell ref="C8:C9"/>
    <mergeCell ref="E8:E9"/>
    <mergeCell ref="F8:F9"/>
    <mergeCell ref="H8:J8"/>
    <mergeCell ref="E4:I4"/>
    <mergeCell ref="E5:I5"/>
    <mergeCell ref="E6:I6"/>
    <mergeCell ref="F7:H7"/>
  </mergeCells>
  <printOptions horizontalCentered="1" gridLines="1"/>
  <pageMargins left="0.25" right="0.25" top="0.75" bottom="0.75" header="0.3" footer="0.3"/>
  <pageSetup paperSize="9" scale="51" firstPageNumber="0" orientation="portrait" r:id="rId1"/>
  <headerFooter alignWithMargins="0">
    <oddFooter>&amp;C&amp;"Arial,Normal"&amp;10Página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opLeftCell="A16" workbookViewId="0">
      <selection activeCell="F9" sqref="F9"/>
    </sheetView>
  </sheetViews>
  <sheetFormatPr defaultRowHeight="12.75"/>
  <cols>
    <col min="1" max="1" width="5.42578125" style="104" bestFit="1" customWidth="1"/>
    <col min="2" max="2" width="33.42578125" style="104" customWidth="1"/>
    <col min="3" max="3" width="13.140625" style="182" bestFit="1" customWidth="1"/>
    <col min="4" max="4" width="13.140625" style="104" customWidth="1"/>
    <col min="5" max="5" width="14.28515625" style="104" bestFit="1" customWidth="1"/>
    <col min="6" max="9" width="13.5703125" style="104" customWidth="1"/>
    <col min="10" max="10" width="14.7109375" style="104" bestFit="1" customWidth="1"/>
    <col min="11" max="11" width="9.5703125" style="104" customWidth="1"/>
    <col min="12" max="12" width="13.140625" style="104" bestFit="1" customWidth="1"/>
    <col min="13" max="13" width="18.5703125" style="104" customWidth="1"/>
    <col min="14" max="14" width="14.7109375" style="104" customWidth="1"/>
    <col min="15" max="15" width="11.7109375" style="104" customWidth="1"/>
    <col min="16" max="260" width="9.140625" style="104"/>
    <col min="261" max="261" width="2.85546875" style="104" customWidth="1"/>
    <col min="262" max="262" width="33.85546875" style="104" customWidth="1"/>
    <col min="263" max="264" width="13.5703125" style="104" bestFit="1" customWidth="1"/>
    <col min="265" max="265" width="13" style="104" customWidth="1"/>
    <col min="266" max="266" width="14.85546875" style="104" bestFit="1" customWidth="1"/>
    <col min="267" max="267" width="9.5703125" style="104" customWidth="1"/>
    <col min="268" max="268" width="11.85546875" style="104" customWidth="1"/>
    <col min="269" max="269" width="12.7109375" style="104" customWidth="1"/>
    <col min="270" max="270" width="14.7109375" style="104" customWidth="1"/>
    <col min="271" max="271" width="11.7109375" style="104" customWidth="1"/>
    <col min="272" max="516" width="9.140625" style="104"/>
    <col min="517" max="517" width="2.85546875" style="104" customWidth="1"/>
    <col min="518" max="518" width="33.85546875" style="104" customWidth="1"/>
    <col min="519" max="520" width="13.5703125" style="104" bestFit="1" customWidth="1"/>
    <col min="521" max="521" width="13" style="104" customWidth="1"/>
    <col min="522" max="522" width="14.85546875" style="104" bestFit="1" customWidth="1"/>
    <col min="523" max="523" width="9.5703125" style="104" customWidth="1"/>
    <col min="524" max="524" width="11.85546875" style="104" customWidth="1"/>
    <col min="525" max="525" width="12.7109375" style="104" customWidth="1"/>
    <col min="526" max="526" width="14.7109375" style="104" customWidth="1"/>
    <col min="527" max="527" width="11.7109375" style="104" customWidth="1"/>
    <col min="528" max="772" width="9.140625" style="104"/>
    <col min="773" max="773" width="2.85546875" style="104" customWidth="1"/>
    <col min="774" max="774" width="33.85546875" style="104" customWidth="1"/>
    <col min="775" max="776" width="13.5703125" style="104" bestFit="1" customWidth="1"/>
    <col min="777" max="777" width="13" style="104" customWidth="1"/>
    <col min="778" max="778" width="14.85546875" style="104" bestFit="1" customWidth="1"/>
    <col min="779" max="779" width="9.5703125" style="104" customWidth="1"/>
    <col min="780" max="780" width="11.85546875" style="104" customWidth="1"/>
    <col min="781" max="781" width="12.7109375" style="104" customWidth="1"/>
    <col min="782" max="782" width="14.7109375" style="104" customWidth="1"/>
    <col min="783" max="783" width="11.7109375" style="104" customWidth="1"/>
    <col min="784" max="1028" width="9.140625" style="104"/>
    <col min="1029" max="1029" width="2.85546875" style="104" customWidth="1"/>
    <col min="1030" max="1030" width="33.85546875" style="104" customWidth="1"/>
    <col min="1031" max="1032" width="13.5703125" style="104" bestFit="1" customWidth="1"/>
    <col min="1033" max="1033" width="13" style="104" customWidth="1"/>
    <col min="1034" max="1034" width="14.85546875" style="104" bestFit="1" customWidth="1"/>
    <col min="1035" max="1035" width="9.5703125" style="104" customWidth="1"/>
    <col min="1036" max="1036" width="11.85546875" style="104" customWidth="1"/>
    <col min="1037" max="1037" width="12.7109375" style="104" customWidth="1"/>
    <col min="1038" max="1038" width="14.7109375" style="104" customWidth="1"/>
    <col min="1039" max="1039" width="11.7109375" style="104" customWidth="1"/>
    <col min="1040" max="1284" width="9.140625" style="104"/>
    <col min="1285" max="1285" width="2.85546875" style="104" customWidth="1"/>
    <col min="1286" max="1286" width="33.85546875" style="104" customWidth="1"/>
    <col min="1287" max="1288" width="13.5703125" style="104" bestFit="1" customWidth="1"/>
    <col min="1289" max="1289" width="13" style="104" customWidth="1"/>
    <col min="1290" max="1290" width="14.85546875" style="104" bestFit="1" customWidth="1"/>
    <col min="1291" max="1291" width="9.5703125" style="104" customWidth="1"/>
    <col min="1292" max="1292" width="11.85546875" style="104" customWidth="1"/>
    <col min="1293" max="1293" width="12.7109375" style="104" customWidth="1"/>
    <col min="1294" max="1294" width="14.7109375" style="104" customWidth="1"/>
    <col min="1295" max="1295" width="11.7109375" style="104" customWidth="1"/>
    <col min="1296" max="1540" width="9.140625" style="104"/>
    <col min="1541" max="1541" width="2.85546875" style="104" customWidth="1"/>
    <col min="1542" max="1542" width="33.85546875" style="104" customWidth="1"/>
    <col min="1543" max="1544" width="13.5703125" style="104" bestFit="1" customWidth="1"/>
    <col min="1545" max="1545" width="13" style="104" customWidth="1"/>
    <col min="1546" max="1546" width="14.85546875" style="104" bestFit="1" customWidth="1"/>
    <col min="1547" max="1547" width="9.5703125" style="104" customWidth="1"/>
    <col min="1548" max="1548" width="11.85546875" style="104" customWidth="1"/>
    <col min="1549" max="1549" width="12.7109375" style="104" customWidth="1"/>
    <col min="1550" max="1550" width="14.7109375" style="104" customWidth="1"/>
    <col min="1551" max="1551" width="11.7109375" style="104" customWidth="1"/>
    <col min="1552" max="1796" width="9.140625" style="104"/>
    <col min="1797" max="1797" width="2.85546875" style="104" customWidth="1"/>
    <col min="1798" max="1798" width="33.85546875" style="104" customWidth="1"/>
    <col min="1799" max="1800" width="13.5703125" style="104" bestFit="1" customWidth="1"/>
    <col min="1801" max="1801" width="13" style="104" customWidth="1"/>
    <col min="1802" max="1802" width="14.85546875" style="104" bestFit="1" customWidth="1"/>
    <col min="1803" max="1803" width="9.5703125" style="104" customWidth="1"/>
    <col min="1804" max="1804" width="11.85546875" style="104" customWidth="1"/>
    <col min="1805" max="1805" width="12.7109375" style="104" customWidth="1"/>
    <col min="1806" max="1806" width="14.7109375" style="104" customWidth="1"/>
    <col min="1807" max="1807" width="11.7109375" style="104" customWidth="1"/>
    <col min="1808" max="2052" width="9.140625" style="104"/>
    <col min="2053" max="2053" width="2.85546875" style="104" customWidth="1"/>
    <col min="2054" max="2054" width="33.85546875" style="104" customWidth="1"/>
    <col min="2055" max="2056" width="13.5703125" style="104" bestFit="1" customWidth="1"/>
    <col min="2057" max="2057" width="13" style="104" customWidth="1"/>
    <col min="2058" max="2058" width="14.85546875" style="104" bestFit="1" customWidth="1"/>
    <col min="2059" max="2059" width="9.5703125" style="104" customWidth="1"/>
    <col min="2060" max="2060" width="11.85546875" style="104" customWidth="1"/>
    <col min="2061" max="2061" width="12.7109375" style="104" customWidth="1"/>
    <col min="2062" max="2062" width="14.7109375" style="104" customWidth="1"/>
    <col min="2063" max="2063" width="11.7109375" style="104" customWidth="1"/>
    <col min="2064" max="2308" width="9.140625" style="104"/>
    <col min="2309" max="2309" width="2.85546875" style="104" customWidth="1"/>
    <col min="2310" max="2310" width="33.85546875" style="104" customWidth="1"/>
    <col min="2311" max="2312" width="13.5703125" style="104" bestFit="1" customWidth="1"/>
    <col min="2313" max="2313" width="13" style="104" customWidth="1"/>
    <col min="2314" max="2314" width="14.85546875" style="104" bestFit="1" customWidth="1"/>
    <col min="2315" max="2315" width="9.5703125" style="104" customWidth="1"/>
    <col min="2316" max="2316" width="11.85546875" style="104" customWidth="1"/>
    <col min="2317" max="2317" width="12.7109375" style="104" customWidth="1"/>
    <col min="2318" max="2318" width="14.7109375" style="104" customWidth="1"/>
    <col min="2319" max="2319" width="11.7109375" style="104" customWidth="1"/>
    <col min="2320" max="2564" width="9.140625" style="104"/>
    <col min="2565" max="2565" width="2.85546875" style="104" customWidth="1"/>
    <col min="2566" max="2566" width="33.85546875" style="104" customWidth="1"/>
    <col min="2567" max="2568" width="13.5703125" style="104" bestFit="1" customWidth="1"/>
    <col min="2569" max="2569" width="13" style="104" customWidth="1"/>
    <col min="2570" max="2570" width="14.85546875" style="104" bestFit="1" customWidth="1"/>
    <col min="2571" max="2571" width="9.5703125" style="104" customWidth="1"/>
    <col min="2572" max="2572" width="11.85546875" style="104" customWidth="1"/>
    <col min="2573" max="2573" width="12.7109375" style="104" customWidth="1"/>
    <col min="2574" max="2574" width="14.7109375" style="104" customWidth="1"/>
    <col min="2575" max="2575" width="11.7109375" style="104" customWidth="1"/>
    <col min="2576" max="2820" width="9.140625" style="104"/>
    <col min="2821" max="2821" width="2.85546875" style="104" customWidth="1"/>
    <col min="2822" max="2822" width="33.85546875" style="104" customWidth="1"/>
    <col min="2823" max="2824" width="13.5703125" style="104" bestFit="1" customWidth="1"/>
    <col min="2825" max="2825" width="13" style="104" customWidth="1"/>
    <col min="2826" max="2826" width="14.85546875" style="104" bestFit="1" customWidth="1"/>
    <col min="2827" max="2827" width="9.5703125" style="104" customWidth="1"/>
    <col min="2828" max="2828" width="11.85546875" style="104" customWidth="1"/>
    <col min="2829" max="2829" width="12.7109375" style="104" customWidth="1"/>
    <col min="2830" max="2830" width="14.7109375" style="104" customWidth="1"/>
    <col min="2831" max="2831" width="11.7109375" style="104" customWidth="1"/>
    <col min="2832" max="3076" width="9.140625" style="104"/>
    <col min="3077" max="3077" width="2.85546875" style="104" customWidth="1"/>
    <col min="3078" max="3078" width="33.85546875" style="104" customWidth="1"/>
    <col min="3079" max="3080" width="13.5703125" style="104" bestFit="1" customWidth="1"/>
    <col min="3081" max="3081" width="13" style="104" customWidth="1"/>
    <col min="3082" max="3082" width="14.85546875" style="104" bestFit="1" customWidth="1"/>
    <col min="3083" max="3083" width="9.5703125" style="104" customWidth="1"/>
    <col min="3084" max="3084" width="11.85546875" style="104" customWidth="1"/>
    <col min="3085" max="3085" width="12.7109375" style="104" customWidth="1"/>
    <col min="3086" max="3086" width="14.7109375" style="104" customWidth="1"/>
    <col min="3087" max="3087" width="11.7109375" style="104" customWidth="1"/>
    <col min="3088" max="3332" width="9.140625" style="104"/>
    <col min="3333" max="3333" width="2.85546875" style="104" customWidth="1"/>
    <col min="3334" max="3334" width="33.85546875" style="104" customWidth="1"/>
    <col min="3335" max="3336" width="13.5703125" style="104" bestFit="1" customWidth="1"/>
    <col min="3337" max="3337" width="13" style="104" customWidth="1"/>
    <col min="3338" max="3338" width="14.85546875" style="104" bestFit="1" customWidth="1"/>
    <col min="3339" max="3339" width="9.5703125" style="104" customWidth="1"/>
    <col min="3340" max="3340" width="11.85546875" style="104" customWidth="1"/>
    <col min="3341" max="3341" width="12.7109375" style="104" customWidth="1"/>
    <col min="3342" max="3342" width="14.7109375" style="104" customWidth="1"/>
    <col min="3343" max="3343" width="11.7109375" style="104" customWidth="1"/>
    <col min="3344" max="3588" width="9.140625" style="104"/>
    <col min="3589" max="3589" width="2.85546875" style="104" customWidth="1"/>
    <col min="3590" max="3590" width="33.85546875" style="104" customWidth="1"/>
    <col min="3591" max="3592" width="13.5703125" style="104" bestFit="1" customWidth="1"/>
    <col min="3593" max="3593" width="13" style="104" customWidth="1"/>
    <col min="3594" max="3594" width="14.85546875" style="104" bestFit="1" customWidth="1"/>
    <col min="3595" max="3595" width="9.5703125" style="104" customWidth="1"/>
    <col min="3596" max="3596" width="11.85546875" style="104" customWidth="1"/>
    <col min="3597" max="3597" width="12.7109375" style="104" customWidth="1"/>
    <col min="3598" max="3598" width="14.7109375" style="104" customWidth="1"/>
    <col min="3599" max="3599" width="11.7109375" style="104" customWidth="1"/>
    <col min="3600" max="3844" width="9.140625" style="104"/>
    <col min="3845" max="3845" width="2.85546875" style="104" customWidth="1"/>
    <col min="3846" max="3846" width="33.85546875" style="104" customWidth="1"/>
    <col min="3847" max="3848" width="13.5703125" style="104" bestFit="1" customWidth="1"/>
    <col min="3849" max="3849" width="13" style="104" customWidth="1"/>
    <col min="3850" max="3850" width="14.85546875" style="104" bestFit="1" customWidth="1"/>
    <col min="3851" max="3851" width="9.5703125" style="104" customWidth="1"/>
    <col min="3852" max="3852" width="11.85546875" style="104" customWidth="1"/>
    <col min="3853" max="3853" width="12.7109375" style="104" customWidth="1"/>
    <col min="3854" max="3854" width="14.7109375" style="104" customWidth="1"/>
    <col min="3855" max="3855" width="11.7109375" style="104" customWidth="1"/>
    <col min="3856" max="4100" width="9.140625" style="104"/>
    <col min="4101" max="4101" width="2.85546875" style="104" customWidth="1"/>
    <col min="4102" max="4102" width="33.85546875" style="104" customWidth="1"/>
    <col min="4103" max="4104" width="13.5703125" style="104" bestFit="1" customWidth="1"/>
    <col min="4105" max="4105" width="13" style="104" customWidth="1"/>
    <col min="4106" max="4106" width="14.85546875" style="104" bestFit="1" customWidth="1"/>
    <col min="4107" max="4107" width="9.5703125" style="104" customWidth="1"/>
    <col min="4108" max="4108" width="11.85546875" style="104" customWidth="1"/>
    <col min="4109" max="4109" width="12.7109375" style="104" customWidth="1"/>
    <col min="4110" max="4110" width="14.7109375" style="104" customWidth="1"/>
    <col min="4111" max="4111" width="11.7109375" style="104" customWidth="1"/>
    <col min="4112" max="4356" width="9.140625" style="104"/>
    <col min="4357" max="4357" width="2.85546875" style="104" customWidth="1"/>
    <col min="4358" max="4358" width="33.85546875" style="104" customWidth="1"/>
    <col min="4359" max="4360" width="13.5703125" style="104" bestFit="1" customWidth="1"/>
    <col min="4361" max="4361" width="13" style="104" customWidth="1"/>
    <col min="4362" max="4362" width="14.85546875" style="104" bestFit="1" customWidth="1"/>
    <col min="4363" max="4363" width="9.5703125" style="104" customWidth="1"/>
    <col min="4364" max="4364" width="11.85546875" style="104" customWidth="1"/>
    <col min="4365" max="4365" width="12.7109375" style="104" customWidth="1"/>
    <col min="4366" max="4366" width="14.7109375" style="104" customWidth="1"/>
    <col min="4367" max="4367" width="11.7109375" style="104" customWidth="1"/>
    <col min="4368" max="4612" width="9.140625" style="104"/>
    <col min="4613" max="4613" width="2.85546875" style="104" customWidth="1"/>
    <col min="4614" max="4614" width="33.85546875" style="104" customWidth="1"/>
    <col min="4615" max="4616" width="13.5703125" style="104" bestFit="1" customWidth="1"/>
    <col min="4617" max="4617" width="13" style="104" customWidth="1"/>
    <col min="4618" max="4618" width="14.85546875" style="104" bestFit="1" customWidth="1"/>
    <col min="4619" max="4619" width="9.5703125" style="104" customWidth="1"/>
    <col min="4620" max="4620" width="11.85546875" style="104" customWidth="1"/>
    <col min="4621" max="4621" width="12.7109375" style="104" customWidth="1"/>
    <col min="4622" max="4622" width="14.7109375" style="104" customWidth="1"/>
    <col min="4623" max="4623" width="11.7109375" style="104" customWidth="1"/>
    <col min="4624" max="4868" width="9.140625" style="104"/>
    <col min="4869" max="4869" width="2.85546875" style="104" customWidth="1"/>
    <col min="4870" max="4870" width="33.85546875" style="104" customWidth="1"/>
    <col min="4871" max="4872" width="13.5703125" style="104" bestFit="1" customWidth="1"/>
    <col min="4873" max="4873" width="13" style="104" customWidth="1"/>
    <col min="4874" max="4874" width="14.85546875" style="104" bestFit="1" customWidth="1"/>
    <col min="4875" max="4875" width="9.5703125" style="104" customWidth="1"/>
    <col min="4876" max="4876" width="11.85546875" style="104" customWidth="1"/>
    <col min="4877" max="4877" width="12.7109375" style="104" customWidth="1"/>
    <col min="4878" max="4878" width="14.7109375" style="104" customWidth="1"/>
    <col min="4879" max="4879" width="11.7109375" style="104" customWidth="1"/>
    <col min="4880" max="5124" width="9.140625" style="104"/>
    <col min="5125" max="5125" width="2.85546875" style="104" customWidth="1"/>
    <col min="5126" max="5126" width="33.85546875" style="104" customWidth="1"/>
    <col min="5127" max="5128" width="13.5703125" style="104" bestFit="1" customWidth="1"/>
    <col min="5129" max="5129" width="13" style="104" customWidth="1"/>
    <col min="5130" max="5130" width="14.85546875" style="104" bestFit="1" customWidth="1"/>
    <col min="5131" max="5131" width="9.5703125" style="104" customWidth="1"/>
    <col min="5132" max="5132" width="11.85546875" style="104" customWidth="1"/>
    <col min="5133" max="5133" width="12.7109375" style="104" customWidth="1"/>
    <col min="5134" max="5134" width="14.7109375" style="104" customWidth="1"/>
    <col min="5135" max="5135" width="11.7109375" style="104" customWidth="1"/>
    <col min="5136" max="5380" width="9.140625" style="104"/>
    <col min="5381" max="5381" width="2.85546875" style="104" customWidth="1"/>
    <col min="5382" max="5382" width="33.85546875" style="104" customWidth="1"/>
    <col min="5383" max="5384" width="13.5703125" style="104" bestFit="1" customWidth="1"/>
    <col min="5385" max="5385" width="13" style="104" customWidth="1"/>
    <col min="5386" max="5386" width="14.85546875" style="104" bestFit="1" customWidth="1"/>
    <col min="5387" max="5387" width="9.5703125" style="104" customWidth="1"/>
    <col min="5388" max="5388" width="11.85546875" style="104" customWidth="1"/>
    <col min="5389" max="5389" width="12.7109375" style="104" customWidth="1"/>
    <col min="5390" max="5390" width="14.7109375" style="104" customWidth="1"/>
    <col min="5391" max="5391" width="11.7109375" style="104" customWidth="1"/>
    <col min="5392" max="5636" width="9.140625" style="104"/>
    <col min="5637" max="5637" width="2.85546875" style="104" customWidth="1"/>
    <col min="5638" max="5638" width="33.85546875" style="104" customWidth="1"/>
    <col min="5639" max="5640" width="13.5703125" style="104" bestFit="1" customWidth="1"/>
    <col min="5641" max="5641" width="13" style="104" customWidth="1"/>
    <col min="5642" max="5642" width="14.85546875" style="104" bestFit="1" customWidth="1"/>
    <col min="5643" max="5643" width="9.5703125" style="104" customWidth="1"/>
    <col min="5644" max="5644" width="11.85546875" style="104" customWidth="1"/>
    <col min="5645" max="5645" width="12.7109375" style="104" customWidth="1"/>
    <col min="5646" max="5646" width="14.7109375" style="104" customWidth="1"/>
    <col min="5647" max="5647" width="11.7109375" style="104" customWidth="1"/>
    <col min="5648" max="5892" width="9.140625" style="104"/>
    <col min="5893" max="5893" width="2.85546875" style="104" customWidth="1"/>
    <col min="5894" max="5894" width="33.85546875" style="104" customWidth="1"/>
    <col min="5895" max="5896" width="13.5703125" style="104" bestFit="1" customWidth="1"/>
    <col min="5897" max="5897" width="13" style="104" customWidth="1"/>
    <col min="5898" max="5898" width="14.85546875" style="104" bestFit="1" customWidth="1"/>
    <col min="5899" max="5899" width="9.5703125" style="104" customWidth="1"/>
    <col min="5900" max="5900" width="11.85546875" style="104" customWidth="1"/>
    <col min="5901" max="5901" width="12.7109375" style="104" customWidth="1"/>
    <col min="5902" max="5902" width="14.7109375" style="104" customWidth="1"/>
    <col min="5903" max="5903" width="11.7109375" style="104" customWidth="1"/>
    <col min="5904" max="6148" width="9.140625" style="104"/>
    <col min="6149" max="6149" width="2.85546875" style="104" customWidth="1"/>
    <col min="6150" max="6150" width="33.85546875" style="104" customWidth="1"/>
    <col min="6151" max="6152" width="13.5703125" style="104" bestFit="1" customWidth="1"/>
    <col min="6153" max="6153" width="13" style="104" customWidth="1"/>
    <col min="6154" max="6154" width="14.85546875" style="104" bestFit="1" customWidth="1"/>
    <col min="6155" max="6155" width="9.5703125" style="104" customWidth="1"/>
    <col min="6156" max="6156" width="11.85546875" style="104" customWidth="1"/>
    <col min="6157" max="6157" width="12.7109375" style="104" customWidth="1"/>
    <col min="6158" max="6158" width="14.7109375" style="104" customWidth="1"/>
    <col min="6159" max="6159" width="11.7109375" style="104" customWidth="1"/>
    <col min="6160" max="6404" width="9.140625" style="104"/>
    <col min="6405" max="6405" width="2.85546875" style="104" customWidth="1"/>
    <col min="6406" max="6406" width="33.85546875" style="104" customWidth="1"/>
    <col min="6407" max="6408" width="13.5703125" style="104" bestFit="1" customWidth="1"/>
    <col min="6409" max="6409" width="13" style="104" customWidth="1"/>
    <col min="6410" max="6410" width="14.85546875" style="104" bestFit="1" customWidth="1"/>
    <col min="6411" max="6411" width="9.5703125" style="104" customWidth="1"/>
    <col min="6412" max="6412" width="11.85546875" style="104" customWidth="1"/>
    <col min="6413" max="6413" width="12.7109375" style="104" customWidth="1"/>
    <col min="6414" max="6414" width="14.7109375" style="104" customWidth="1"/>
    <col min="6415" max="6415" width="11.7109375" style="104" customWidth="1"/>
    <col min="6416" max="6660" width="9.140625" style="104"/>
    <col min="6661" max="6661" width="2.85546875" style="104" customWidth="1"/>
    <col min="6662" max="6662" width="33.85546875" style="104" customWidth="1"/>
    <col min="6663" max="6664" width="13.5703125" style="104" bestFit="1" customWidth="1"/>
    <col min="6665" max="6665" width="13" style="104" customWidth="1"/>
    <col min="6666" max="6666" width="14.85546875" style="104" bestFit="1" customWidth="1"/>
    <col min="6667" max="6667" width="9.5703125" style="104" customWidth="1"/>
    <col min="6668" max="6668" width="11.85546875" style="104" customWidth="1"/>
    <col min="6669" max="6669" width="12.7109375" style="104" customWidth="1"/>
    <col min="6670" max="6670" width="14.7109375" style="104" customWidth="1"/>
    <col min="6671" max="6671" width="11.7109375" style="104" customWidth="1"/>
    <col min="6672" max="6916" width="9.140625" style="104"/>
    <col min="6917" max="6917" width="2.85546875" style="104" customWidth="1"/>
    <col min="6918" max="6918" width="33.85546875" style="104" customWidth="1"/>
    <col min="6919" max="6920" width="13.5703125" style="104" bestFit="1" customWidth="1"/>
    <col min="6921" max="6921" width="13" style="104" customWidth="1"/>
    <col min="6922" max="6922" width="14.85546875" style="104" bestFit="1" customWidth="1"/>
    <col min="6923" max="6923" width="9.5703125" style="104" customWidth="1"/>
    <col min="6924" max="6924" width="11.85546875" style="104" customWidth="1"/>
    <col min="6925" max="6925" width="12.7109375" style="104" customWidth="1"/>
    <col min="6926" max="6926" width="14.7109375" style="104" customWidth="1"/>
    <col min="6927" max="6927" width="11.7109375" style="104" customWidth="1"/>
    <col min="6928" max="7172" width="9.140625" style="104"/>
    <col min="7173" max="7173" width="2.85546875" style="104" customWidth="1"/>
    <col min="7174" max="7174" width="33.85546875" style="104" customWidth="1"/>
    <col min="7175" max="7176" width="13.5703125" style="104" bestFit="1" customWidth="1"/>
    <col min="7177" max="7177" width="13" style="104" customWidth="1"/>
    <col min="7178" max="7178" width="14.85546875" style="104" bestFit="1" customWidth="1"/>
    <col min="7179" max="7179" width="9.5703125" style="104" customWidth="1"/>
    <col min="7180" max="7180" width="11.85546875" style="104" customWidth="1"/>
    <col min="7181" max="7181" width="12.7109375" style="104" customWidth="1"/>
    <col min="7182" max="7182" width="14.7109375" style="104" customWidth="1"/>
    <col min="7183" max="7183" width="11.7109375" style="104" customWidth="1"/>
    <col min="7184" max="7428" width="9.140625" style="104"/>
    <col min="7429" max="7429" width="2.85546875" style="104" customWidth="1"/>
    <col min="7430" max="7430" width="33.85546875" style="104" customWidth="1"/>
    <col min="7431" max="7432" width="13.5703125" style="104" bestFit="1" customWidth="1"/>
    <col min="7433" max="7433" width="13" style="104" customWidth="1"/>
    <col min="7434" max="7434" width="14.85546875" style="104" bestFit="1" customWidth="1"/>
    <col min="7435" max="7435" width="9.5703125" style="104" customWidth="1"/>
    <col min="7436" max="7436" width="11.85546875" style="104" customWidth="1"/>
    <col min="7437" max="7437" width="12.7109375" style="104" customWidth="1"/>
    <col min="7438" max="7438" width="14.7109375" style="104" customWidth="1"/>
    <col min="7439" max="7439" width="11.7109375" style="104" customWidth="1"/>
    <col min="7440" max="7684" width="9.140625" style="104"/>
    <col min="7685" max="7685" width="2.85546875" style="104" customWidth="1"/>
    <col min="7686" max="7686" width="33.85546875" style="104" customWidth="1"/>
    <col min="7687" max="7688" width="13.5703125" style="104" bestFit="1" customWidth="1"/>
    <col min="7689" max="7689" width="13" style="104" customWidth="1"/>
    <col min="7690" max="7690" width="14.85546875" style="104" bestFit="1" customWidth="1"/>
    <col min="7691" max="7691" width="9.5703125" style="104" customWidth="1"/>
    <col min="7692" max="7692" width="11.85546875" style="104" customWidth="1"/>
    <col min="7693" max="7693" width="12.7109375" style="104" customWidth="1"/>
    <col min="7694" max="7694" width="14.7109375" style="104" customWidth="1"/>
    <col min="7695" max="7695" width="11.7109375" style="104" customWidth="1"/>
    <col min="7696" max="7940" width="9.140625" style="104"/>
    <col min="7941" max="7941" width="2.85546875" style="104" customWidth="1"/>
    <col min="7942" max="7942" width="33.85546875" style="104" customWidth="1"/>
    <col min="7943" max="7944" width="13.5703125" style="104" bestFit="1" customWidth="1"/>
    <col min="7945" max="7945" width="13" style="104" customWidth="1"/>
    <col min="7946" max="7946" width="14.85546875" style="104" bestFit="1" customWidth="1"/>
    <col min="7947" max="7947" width="9.5703125" style="104" customWidth="1"/>
    <col min="7948" max="7948" width="11.85546875" style="104" customWidth="1"/>
    <col min="7949" max="7949" width="12.7109375" style="104" customWidth="1"/>
    <col min="7950" max="7950" width="14.7109375" style="104" customWidth="1"/>
    <col min="7951" max="7951" width="11.7109375" style="104" customWidth="1"/>
    <col min="7952" max="8196" width="9.140625" style="104"/>
    <col min="8197" max="8197" width="2.85546875" style="104" customWidth="1"/>
    <col min="8198" max="8198" width="33.85546875" style="104" customWidth="1"/>
    <col min="8199" max="8200" width="13.5703125" style="104" bestFit="1" customWidth="1"/>
    <col min="8201" max="8201" width="13" style="104" customWidth="1"/>
    <col min="8202" max="8202" width="14.85546875" style="104" bestFit="1" customWidth="1"/>
    <col min="8203" max="8203" width="9.5703125" style="104" customWidth="1"/>
    <col min="8204" max="8204" width="11.85546875" style="104" customWidth="1"/>
    <col min="8205" max="8205" width="12.7109375" style="104" customWidth="1"/>
    <col min="8206" max="8206" width="14.7109375" style="104" customWidth="1"/>
    <col min="8207" max="8207" width="11.7109375" style="104" customWidth="1"/>
    <col min="8208" max="8452" width="9.140625" style="104"/>
    <col min="8453" max="8453" width="2.85546875" style="104" customWidth="1"/>
    <col min="8454" max="8454" width="33.85546875" style="104" customWidth="1"/>
    <col min="8455" max="8456" width="13.5703125" style="104" bestFit="1" customWidth="1"/>
    <col min="8457" max="8457" width="13" style="104" customWidth="1"/>
    <col min="8458" max="8458" width="14.85546875" style="104" bestFit="1" customWidth="1"/>
    <col min="8459" max="8459" width="9.5703125" style="104" customWidth="1"/>
    <col min="8460" max="8460" width="11.85546875" style="104" customWidth="1"/>
    <col min="8461" max="8461" width="12.7109375" style="104" customWidth="1"/>
    <col min="8462" max="8462" width="14.7109375" style="104" customWidth="1"/>
    <col min="8463" max="8463" width="11.7109375" style="104" customWidth="1"/>
    <col min="8464" max="8708" width="9.140625" style="104"/>
    <col min="8709" max="8709" width="2.85546875" style="104" customWidth="1"/>
    <col min="8710" max="8710" width="33.85546875" style="104" customWidth="1"/>
    <col min="8711" max="8712" width="13.5703125" style="104" bestFit="1" customWidth="1"/>
    <col min="8713" max="8713" width="13" style="104" customWidth="1"/>
    <col min="8714" max="8714" width="14.85546875" style="104" bestFit="1" customWidth="1"/>
    <col min="8715" max="8715" width="9.5703125" style="104" customWidth="1"/>
    <col min="8716" max="8716" width="11.85546875" style="104" customWidth="1"/>
    <col min="8717" max="8717" width="12.7109375" style="104" customWidth="1"/>
    <col min="8718" max="8718" width="14.7109375" style="104" customWidth="1"/>
    <col min="8719" max="8719" width="11.7109375" style="104" customWidth="1"/>
    <col min="8720" max="8964" width="9.140625" style="104"/>
    <col min="8965" max="8965" width="2.85546875" style="104" customWidth="1"/>
    <col min="8966" max="8966" width="33.85546875" style="104" customWidth="1"/>
    <col min="8967" max="8968" width="13.5703125" style="104" bestFit="1" customWidth="1"/>
    <col min="8969" max="8969" width="13" style="104" customWidth="1"/>
    <col min="8970" max="8970" width="14.85546875" style="104" bestFit="1" customWidth="1"/>
    <col min="8971" max="8971" width="9.5703125" style="104" customWidth="1"/>
    <col min="8972" max="8972" width="11.85546875" style="104" customWidth="1"/>
    <col min="8973" max="8973" width="12.7109375" style="104" customWidth="1"/>
    <col min="8974" max="8974" width="14.7109375" style="104" customWidth="1"/>
    <col min="8975" max="8975" width="11.7109375" style="104" customWidth="1"/>
    <col min="8976" max="9220" width="9.140625" style="104"/>
    <col min="9221" max="9221" width="2.85546875" style="104" customWidth="1"/>
    <col min="9222" max="9222" width="33.85546875" style="104" customWidth="1"/>
    <col min="9223" max="9224" width="13.5703125" style="104" bestFit="1" customWidth="1"/>
    <col min="9225" max="9225" width="13" style="104" customWidth="1"/>
    <col min="9226" max="9226" width="14.85546875" style="104" bestFit="1" customWidth="1"/>
    <col min="9227" max="9227" width="9.5703125" style="104" customWidth="1"/>
    <col min="9228" max="9228" width="11.85546875" style="104" customWidth="1"/>
    <col min="9229" max="9229" width="12.7109375" style="104" customWidth="1"/>
    <col min="9230" max="9230" width="14.7109375" style="104" customWidth="1"/>
    <col min="9231" max="9231" width="11.7109375" style="104" customWidth="1"/>
    <col min="9232" max="9476" width="9.140625" style="104"/>
    <col min="9477" max="9477" width="2.85546875" style="104" customWidth="1"/>
    <col min="9478" max="9478" width="33.85546875" style="104" customWidth="1"/>
    <col min="9479" max="9480" width="13.5703125" style="104" bestFit="1" customWidth="1"/>
    <col min="9481" max="9481" width="13" style="104" customWidth="1"/>
    <col min="9482" max="9482" width="14.85546875" style="104" bestFit="1" customWidth="1"/>
    <col min="9483" max="9483" width="9.5703125" style="104" customWidth="1"/>
    <col min="9484" max="9484" width="11.85546875" style="104" customWidth="1"/>
    <col min="9485" max="9485" width="12.7109375" style="104" customWidth="1"/>
    <col min="9486" max="9486" width="14.7109375" style="104" customWidth="1"/>
    <col min="9487" max="9487" width="11.7109375" style="104" customWidth="1"/>
    <col min="9488" max="9732" width="9.140625" style="104"/>
    <col min="9733" max="9733" width="2.85546875" style="104" customWidth="1"/>
    <col min="9734" max="9734" width="33.85546875" style="104" customWidth="1"/>
    <col min="9735" max="9736" width="13.5703125" style="104" bestFit="1" customWidth="1"/>
    <col min="9737" max="9737" width="13" style="104" customWidth="1"/>
    <col min="9738" max="9738" width="14.85546875" style="104" bestFit="1" customWidth="1"/>
    <col min="9739" max="9739" width="9.5703125" style="104" customWidth="1"/>
    <col min="9740" max="9740" width="11.85546875" style="104" customWidth="1"/>
    <col min="9741" max="9741" width="12.7109375" style="104" customWidth="1"/>
    <col min="9742" max="9742" width="14.7109375" style="104" customWidth="1"/>
    <col min="9743" max="9743" width="11.7109375" style="104" customWidth="1"/>
    <col min="9744" max="9988" width="9.140625" style="104"/>
    <col min="9989" max="9989" width="2.85546875" style="104" customWidth="1"/>
    <col min="9990" max="9990" width="33.85546875" style="104" customWidth="1"/>
    <col min="9991" max="9992" width="13.5703125" style="104" bestFit="1" customWidth="1"/>
    <col min="9993" max="9993" width="13" style="104" customWidth="1"/>
    <col min="9994" max="9994" width="14.85546875" style="104" bestFit="1" customWidth="1"/>
    <col min="9995" max="9995" width="9.5703125" style="104" customWidth="1"/>
    <col min="9996" max="9996" width="11.85546875" style="104" customWidth="1"/>
    <col min="9997" max="9997" width="12.7109375" style="104" customWidth="1"/>
    <col min="9998" max="9998" width="14.7109375" style="104" customWidth="1"/>
    <col min="9999" max="9999" width="11.7109375" style="104" customWidth="1"/>
    <col min="10000" max="10244" width="9.140625" style="104"/>
    <col min="10245" max="10245" width="2.85546875" style="104" customWidth="1"/>
    <col min="10246" max="10246" width="33.85546875" style="104" customWidth="1"/>
    <col min="10247" max="10248" width="13.5703125" style="104" bestFit="1" customWidth="1"/>
    <col min="10249" max="10249" width="13" style="104" customWidth="1"/>
    <col min="10250" max="10250" width="14.85546875" style="104" bestFit="1" customWidth="1"/>
    <col min="10251" max="10251" width="9.5703125" style="104" customWidth="1"/>
    <col min="10252" max="10252" width="11.85546875" style="104" customWidth="1"/>
    <col min="10253" max="10253" width="12.7109375" style="104" customWidth="1"/>
    <col min="10254" max="10254" width="14.7109375" style="104" customWidth="1"/>
    <col min="10255" max="10255" width="11.7109375" style="104" customWidth="1"/>
    <col min="10256" max="10500" width="9.140625" style="104"/>
    <col min="10501" max="10501" width="2.85546875" style="104" customWidth="1"/>
    <col min="10502" max="10502" width="33.85546875" style="104" customWidth="1"/>
    <col min="10503" max="10504" width="13.5703125" style="104" bestFit="1" customWidth="1"/>
    <col min="10505" max="10505" width="13" style="104" customWidth="1"/>
    <col min="10506" max="10506" width="14.85546875" style="104" bestFit="1" customWidth="1"/>
    <col min="10507" max="10507" width="9.5703125" style="104" customWidth="1"/>
    <col min="10508" max="10508" width="11.85546875" style="104" customWidth="1"/>
    <col min="10509" max="10509" width="12.7109375" style="104" customWidth="1"/>
    <col min="10510" max="10510" width="14.7109375" style="104" customWidth="1"/>
    <col min="10511" max="10511" width="11.7109375" style="104" customWidth="1"/>
    <col min="10512" max="10756" width="9.140625" style="104"/>
    <col min="10757" max="10757" width="2.85546875" style="104" customWidth="1"/>
    <col min="10758" max="10758" width="33.85546875" style="104" customWidth="1"/>
    <col min="10759" max="10760" width="13.5703125" style="104" bestFit="1" customWidth="1"/>
    <col min="10761" max="10761" width="13" style="104" customWidth="1"/>
    <col min="10762" max="10762" width="14.85546875" style="104" bestFit="1" customWidth="1"/>
    <col min="10763" max="10763" width="9.5703125" style="104" customWidth="1"/>
    <col min="10764" max="10764" width="11.85546875" style="104" customWidth="1"/>
    <col min="10765" max="10765" width="12.7109375" style="104" customWidth="1"/>
    <col min="10766" max="10766" width="14.7109375" style="104" customWidth="1"/>
    <col min="10767" max="10767" width="11.7109375" style="104" customWidth="1"/>
    <col min="10768" max="11012" width="9.140625" style="104"/>
    <col min="11013" max="11013" width="2.85546875" style="104" customWidth="1"/>
    <col min="11014" max="11014" width="33.85546875" style="104" customWidth="1"/>
    <col min="11015" max="11016" width="13.5703125" style="104" bestFit="1" customWidth="1"/>
    <col min="11017" max="11017" width="13" style="104" customWidth="1"/>
    <col min="11018" max="11018" width="14.85546875" style="104" bestFit="1" customWidth="1"/>
    <col min="11019" max="11019" width="9.5703125" style="104" customWidth="1"/>
    <col min="11020" max="11020" width="11.85546875" style="104" customWidth="1"/>
    <col min="11021" max="11021" width="12.7109375" style="104" customWidth="1"/>
    <col min="11022" max="11022" width="14.7109375" style="104" customWidth="1"/>
    <col min="11023" max="11023" width="11.7109375" style="104" customWidth="1"/>
    <col min="11024" max="11268" width="9.140625" style="104"/>
    <col min="11269" max="11269" width="2.85546875" style="104" customWidth="1"/>
    <col min="11270" max="11270" width="33.85546875" style="104" customWidth="1"/>
    <col min="11271" max="11272" width="13.5703125" style="104" bestFit="1" customWidth="1"/>
    <col min="11273" max="11273" width="13" style="104" customWidth="1"/>
    <col min="11274" max="11274" width="14.85546875" style="104" bestFit="1" customWidth="1"/>
    <col min="11275" max="11275" width="9.5703125" style="104" customWidth="1"/>
    <col min="11276" max="11276" width="11.85546875" style="104" customWidth="1"/>
    <col min="11277" max="11277" width="12.7109375" style="104" customWidth="1"/>
    <col min="11278" max="11278" width="14.7109375" style="104" customWidth="1"/>
    <col min="11279" max="11279" width="11.7109375" style="104" customWidth="1"/>
    <col min="11280" max="11524" width="9.140625" style="104"/>
    <col min="11525" max="11525" width="2.85546875" style="104" customWidth="1"/>
    <col min="11526" max="11526" width="33.85546875" style="104" customWidth="1"/>
    <col min="11527" max="11528" width="13.5703125" style="104" bestFit="1" customWidth="1"/>
    <col min="11529" max="11529" width="13" style="104" customWidth="1"/>
    <col min="11530" max="11530" width="14.85546875" style="104" bestFit="1" customWidth="1"/>
    <col min="11531" max="11531" width="9.5703125" style="104" customWidth="1"/>
    <col min="11532" max="11532" width="11.85546875" style="104" customWidth="1"/>
    <col min="11533" max="11533" width="12.7109375" style="104" customWidth="1"/>
    <col min="11534" max="11534" width="14.7109375" style="104" customWidth="1"/>
    <col min="11535" max="11535" width="11.7109375" style="104" customWidth="1"/>
    <col min="11536" max="11780" width="9.140625" style="104"/>
    <col min="11781" max="11781" width="2.85546875" style="104" customWidth="1"/>
    <col min="11782" max="11782" width="33.85546875" style="104" customWidth="1"/>
    <col min="11783" max="11784" width="13.5703125" style="104" bestFit="1" customWidth="1"/>
    <col min="11785" max="11785" width="13" style="104" customWidth="1"/>
    <col min="11786" max="11786" width="14.85546875" style="104" bestFit="1" customWidth="1"/>
    <col min="11787" max="11787" width="9.5703125" style="104" customWidth="1"/>
    <col min="11788" max="11788" width="11.85546875" style="104" customWidth="1"/>
    <col min="11789" max="11789" width="12.7109375" style="104" customWidth="1"/>
    <col min="11790" max="11790" width="14.7109375" style="104" customWidth="1"/>
    <col min="11791" max="11791" width="11.7109375" style="104" customWidth="1"/>
    <col min="11792" max="12036" width="9.140625" style="104"/>
    <col min="12037" max="12037" width="2.85546875" style="104" customWidth="1"/>
    <col min="12038" max="12038" width="33.85546875" style="104" customWidth="1"/>
    <col min="12039" max="12040" width="13.5703125" style="104" bestFit="1" customWidth="1"/>
    <col min="12041" max="12041" width="13" style="104" customWidth="1"/>
    <col min="12042" max="12042" width="14.85546875" style="104" bestFit="1" customWidth="1"/>
    <col min="12043" max="12043" width="9.5703125" style="104" customWidth="1"/>
    <col min="12044" max="12044" width="11.85546875" style="104" customWidth="1"/>
    <col min="12045" max="12045" width="12.7109375" style="104" customWidth="1"/>
    <col min="12046" max="12046" width="14.7109375" style="104" customWidth="1"/>
    <col min="12047" max="12047" width="11.7109375" style="104" customWidth="1"/>
    <col min="12048" max="12292" width="9.140625" style="104"/>
    <col min="12293" max="12293" width="2.85546875" style="104" customWidth="1"/>
    <col min="12294" max="12294" width="33.85546875" style="104" customWidth="1"/>
    <col min="12295" max="12296" width="13.5703125" style="104" bestFit="1" customWidth="1"/>
    <col min="12297" max="12297" width="13" style="104" customWidth="1"/>
    <col min="12298" max="12298" width="14.85546875" style="104" bestFit="1" customWidth="1"/>
    <col min="12299" max="12299" width="9.5703125" style="104" customWidth="1"/>
    <col min="12300" max="12300" width="11.85546875" style="104" customWidth="1"/>
    <col min="12301" max="12301" width="12.7109375" style="104" customWidth="1"/>
    <col min="12302" max="12302" width="14.7109375" style="104" customWidth="1"/>
    <col min="12303" max="12303" width="11.7109375" style="104" customWidth="1"/>
    <col min="12304" max="12548" width="9.140625" style="104"/>
    <col min="12549" max="12549" width="2.85546875" style="104" customWidth="1"/>
    <col min="12550" max="12550" width="33.85546875" style="104" customWidth="1"/>
    <col min="12551" max="12552" width="13.5703125" style="104" bestFit="1" customWidth="1"/>
    <col min="12553" max="12553" width="13" style="104" customWidth="1"/>
    <col min="12554" max="12554" width="14.85546875" style="104" bestFit="1" customWidth="1"/>
    <col min="12555" max="12555" width="9.5703125" style="104" customWidth="1"/>
    <col min="12556" max="12556" width="11.85546875" style="104" customWidth="1"/>
    <col min="12557" max="12557" width="12.7109375" style="104" customWidth="1"/>
    <col min="12558" max="12558" width="14.7109375" style="104" customWidth="1"/>
    <col min="12559" max="12559" width="11.7109375" style="104" customWidth="1"/>
    <col min="12560" max="12804" width="9.140625" style="104"/>
    <col min="12805" max="12805" width="2.85546875" style="104" customWidth="1"/>
    <col min="12806" max="12806" width="33.85546875" style="104" customWidth="1"/>
    <col min="12807" max="12808" width="13.5703125" style="104" bestFit="1" customWidth="1"/>
    <col min="12809" max="12809" width="13" style="104" customWidth="1"/>
    <col min="12810" max="12810" width="14.85546875" style="104" bestFit="1" customWidth="1"/>
    <col min="12811" max="12811" width="9.5703125" style="104" customWidth="1"/>
    <col min="12812" max="12812" width="11.85546875" style="104" customWidth="1"/>
    <col min="12813" max="12813" width="12.7109375" style="104" customWidth="1"/>
    <col min="12814" max="12814" width="14.7109375" style="104" customWidth="1"/>
    <col min="12815" max="12815" width="11.7109375" style="104" customWidth="1"/>
    <col min="12816" max="13060" width="9.140625" style="104"/>
    <col min="13061" max="13061" width="2.85546875" style="104" customWidth="1"/>
    <col min="13062" max="13062" width="33.85546875" style="104" customWidth="1"/>
    <col min="13063" max="13064" width="13.5703125" style="104" bestFit="1" customWidth="1"/>
    <col min="13065" max="13065" width="13" style="104" customWidth="1"/>
    <col min="13066" max="13066" width="14.85546875" style="104" bestFit="1" customWidth="1"/>
    <col min="13067" max="13067" width="9.5703125" style="104" customWidth="1"/>
    <col min="13068" max="13068" width="11.85546875" style="104" customWidth="1"/>
    <col min="13069" max="13069" width="12.7109375" style="104" customWidth="1"/>
    <col min="13070" max="13070" width="14.7109375" style="104" customWidth="1"/>
    <col min="13071" max="13071" width="11.7109375" style="104" customWidth="1"/>
    <col min="13072" max="13316" width="9.140625" style="104"/>
    <col min="13317" max="13317" width="2.85546875" style="104" customWidth="1"/>
    <col min="13318" max="13318" width="33.85546875" style="104" customWidth="1"/>
    <col min="13319" max="13320" width="13.5703125" style="104" bestFit="1" customWidth="1"/>
    <col min="13321" max="13321" width="13" style="104" customWidth="1"/>
    <col min="13322" max="13322" width="14.85546875" style="104" bestFit="1" customWidth="1"/>
    <col min="13323" max="13323" width="9.5703125" style="104" customWidth="1"/>
    <col min="13324" max="13324" width="11.85546875" style="104" customWidth="1"/>
    <col min="13325" max="13325" width="12.7109375" style="104" customWidth="1"/>
    <col min="13326" max="13326" width="14.7109375" style="104" customWidth="1"/>
    <col min="13327" max="13327" width="11.7109375" style="104" customWidth="1"/>
    <col min="13328" max="13572" width="9.140625" style="104"/>
    <col min="13573" max="13573" width="2.85546875" style="104" customWidth="1"/>
    <col min="13574" max="13574" width="33.85546875" style="104" customWidth="1"/>
    <col min="13575" max="13576" width="13.5703125" style="104" bestFit="1" customWidth="1"/>
    <col min="13577" max="13577" width="13" style="104" customWidth="1"/>
    <col min="13578" max="13578" width="14.85546875" style="104" bestFit="1" customWidth="1"/>
    <col min="13579" max="13579" width="9.5703125" style="104" customWidth="1"/>
    <col min="13580" max="13580" width="11.85546875" style="104" customWidth="1"/>
    <col min="13581" max="13581" width="12.7109375" style="104" customWidth="1"/>
    <col min="13582" max="13582" width="14.7109375" style="104" customWidth="1"/>
    <col min="13583" max="13583" width="11.7109375" style="104" customWidth="1"/>
    <col min="13584" max="13828" width="9.140625" style="104"/>
    <col min="13829" max="13829" width="2.85546875" style="104" customWidth="1"/>
    <col min="13830" max="13830" width="33.85546875" style="104" customWidth="1"/>
    <col min="13831" max="13832" width="13.5703125" style="104" bestFit="1" customWidth="1"/>
    <col min="13833" max="13833" width="13" style="104" customWidth="1"/>
    <col min="13834" max="13834" width="14.85546875" style="104" bestFit="1" customWidth="1"/>
    <col min="13835" max="13835" width="9.5703125" style="104" customWidth="1"/>
    <col min="13836" max="13836" width="11.85546875" style="104" customWidth="1"/>
    <col min="13837" max="13837" width="12.7109375" style="104" customWidth="1"/>
    <col min="13838" max="13838" width="14.7109375" style="104" customWidth="1"/>
    <col min="13839" max="13839" width="11.7109375" style="104" customWidth="1"/>
    <col min="13840" max="14084" width="9.140625" style="104"/>
    <col min="14085" max="14085" width="2.85546875" style="104" customWidth="1"/>
    <col min="14086" max="14086" width="33.85546875" style="104" customWidth="1"/>
    <col min="14087" max="14088" width="13.5703125" style="104" bestFit="1" customWidth="1"/>
    <col min="14089" max="14089" width="13" style="104" customWidth="1"/>
    <col min="14090" max="14090" width="14.85546875" style="104" bestFit="1" customWidth="1"/>
    <col min="14091" max="14091" width="9.5703125" style="104" customWidth="1"/>
    <col min="14092" max="14092" width="11.85546875" style="104" customWidth="1"/>
    <col min="14093" max="14093" width="12.7109375" style="104" customWidth="1"/>
    <col min="14094" max="14094" width="14.7109375" style="104" customWidth="1"/>
    <col min="14095" max="14095" width="11.7109375" style="104" customWidth="1"/>
    <col min="14096" max="14340" width="9.140625" style="104"/>
    <col min="14341" max="14341" width="2.85546875" style="104" customWidth="1"/>
    <col min="14342" max="14342" width="33.85546875" style="104" customWidth="1"/>
    <col min="14343" max="14344" width="13.5703125" style="104" bestFit="1" customWidth="1"/>
    <col min="14345" max="14345" width="13" style="104" customWidth="1"/>
    <col min="14346" max="14346" width="14.85546875" style="104" bestFit="1" customWidth="1"/>
    <col min="14347" max="14347" width="9.5703125" style="104" customWidth="1"/>
    <col min="14348" max="14348" width="11.85546875" style="104" customWidth="1"/>
    <col min="14349" max="14349" width="12.7109375" style="104" customWidth="1"/>
    <col min="14350" max="14350" width="14.7109375" style="104" customWidth="1"/>
    <col min="14351" max="14351" width="11.7109375" style="104" customWidth="1"/>
    <col min="14352" max="14596" width="9.140625" style="104"/>
    <col min="14597" max="14597" width="2.85546875" style="104" customWidth="1"/>
    <col min="14598" max="14598" width="33.85546875" style="104" customWidth="1"/>
    <col min="14599" max="14600" width="13.5703125" style="104" bestFit="1" customWidth="1"/>
    <col min="14601" max="14601" width="13" style="104" customWidth="1"/>
    <col min="14602" max="14602" width="14.85546875" style="104" bestFit="1" customWidth="1"/>
    <col min="14603" max="14603" width="9.5703125" style="104" customWidth="1"/>
    <col min="14604" max="14604" width="11.85546875" style="104" customWidth="1"/>
    <col min="14605" max="14605" width="12.7109375" style="104" customWidth="1"/>
    <col min="14606" max="14606" width="14.7109375" style="104" customWidth="1"/>
    <col min="14607" max="14607" width="11.7109375" style="104" customWidth="1"/>
    <col min="14608" max="14852" width="9.140625" style="104"/>
    <col min="14853" max="14853" width="2.85546875" style="104" customWidth="1"/>
    <col min="14854" max="14854" width="33.85546875" style="104" customWidth="1"/>
    <col min="14855" max="14856" width="13.5703125" style="104" bestFit="1" customWidth="1"/>
    <col min="14857" max="14857" width="13" style="104" customWidth="1"/>
    <col min="14858" max="14858" width="14.85546875" style="104" bestFit="1" customWidth="1"/>
    <col min="14859" max="14859" width="9.5703125" style="104" customWidth="1"/>
    <col min="14860" max="14860" width="11.85546875" style="104" customWidth="1"/>
    <col min="14861" max="14861" width="12.7109375" style="104" customWidth="1"/>
    <col min="14862" max="14862" width="14.7109375" style="104" customWidth="1"/>
    <col min="14863" max="14863" width="11.7109375" style="104" customWidth="1"/>
    <col min="14864" max="15108" width="9.140625" style="104"/>
    <col min="15109" max="15109" width="2.85546875" style="104" customWidth="1"/>
    <col min="15110" max="15110" width="33.85546875" style="104" customWidth="1"/>
    <col min="15111" max="15112" width="13.5703125" style="104" bestFit="1" customWidth="1"/>
    <col min="15113" max="15113" width="13" style="104" customWidth="1"/>
    <col min="15114" max="15114" width="14.85546875" style="104" bestFit="1" customWidth="1"/>
    <col min="15115" max="15115" width="9.5703125" style="104" customWidth="1"/>
    <col min="15116" max="15116" width="11.85546875" style="104" customWidth="1"/>
    <col min="15117" max="15117" width="12.7109375" style="104" customWidth="1"/>
    <col min="15118" max="15118" width="14.7109375" style="104" customWidth="1"/>
    <col min="15119" max="15119" width="11.7109375" style="104" customWidth="1"/>
    <col min="15120" max="15364" width="9.140625" style="104"/>
    <col min="15365" max="15365" width="2.85546875" style="104" customWidth="1"/>
    <col min="15366" max="15366" width="33.85546875" style="104" customWidth="1"/>
    <col min="15367" max="15368" width="13.5703125" style="104" bestFit="1" customWidth="1"/>
    <col min="15369" max="15369" width="13" style="104" customWidth="1"/>
    <col min="15370" max="15370" width="14.85546875" style="104" bestFit="1" customWidth="1"/>
    <col min="15371" max="15371" width="9.5703125" style="104" customWidth="1"/>
    <col min="15372" max="15372" width="11.85546875" style="104" customWidth="1"/>
    <col min="15373" max="15373" width="12.7109375" style="104" customWidth="1"/>
    <col min="15374" max="15374" width="14.7109375" style="104" customWidth="1"/>
    <col min="15375" max="15375" width="11.7109375" style="104" customWidth="1"/>
    <col min="15376" max="15620" width="9.140625" style="104"/>
    <col min="15621" max="15621" width="2.85546875" style="104" customWidth="1"/>
    <col min="15622" max="15622" width="33.85546875" style="104" customWidth="1"/>
    <col min="15623" max="15624" width="13.5703125" style="104" bestFit="1" customWidth="1"/>
    <col min="15625" max="15625" width="13" style="104" customWidth="1"/>
    <col min="15626" max="15626" width="14.85546875" style="104" bestFit="1" customWidth="1"/>
    <col min="15627" max="15627" width="9.5703125" style="104" customWidth="1"/>
    <col min="15628" max="15628" width="11.85546875" style="104" customWidth="1"/>
    <col min="15629" max="15629" width="12.7109375" style="104" customWidth="1"/>
    <col min="15630" max="15630" width="14.7109375" style="104" customWidth="1"/>
    <col min="15631" max="15631" width="11.7109375" style="104" customWidth="1"/>
    <col min="15632" max="15876" width="9.140625" style="104"/>
    <col min="15877" max="15877" width="2.85546875" style="104" customWidth="1"/>
    <col min="15878" max="15878" width="33.85546875" style="104" customWidth="1"/>
    <col min="15879" max="15880" width="13.5703125" style="104" bestFit="1" customWidth="1"/>
    <col min="15881" max="15881" width="13" style="104" customWidth="1"/>
    <col min="15882" max="15882" width="14.85546875" style="104" bestFit="1" customWidth="1"/>
    <col min="15883" max="15883" width="9.5703125" style="104" customWidth="1"/>
    <col min="15884" max="15884" width="11.85546875" style="104" customWidth="1"/>
    <col min="15885" max="15885" width="12.7109375" style="104" customWidth="1"/>
    <col min="15886" max="15886" width="14.7109375" style="104" customWidth="1"/>
    <col min="15887" max="15887" width="11.7109375" style="104" customWidth="1"/>
    <col min="15888" max="16132" width="9.140625" style="104"/>
    <col min="16133" max="16133" width="2.85546875" style="104" customWidth="1"/>
    <col min="16134" max="16134" width="33.85546875" style="104" customWidth="1"/>
    <col min="16135" max="16136" width="13.5703125" style="104" bestFit="1" customWidth="1"/>
    <col min="16137" max="16137" width="13" style="104" customWidth="1"/>
    <col min="16138" max="16138" width="14.85546875" style="104" bestFit="1" customWidth="1"/>
    <col min="16139" max="16139" width="9.5703125" style="104" customWidth="1"/>
    <col min="16140" max="16140" width="11.85546875" style="104" customWidth="1"/>
    <col min="16141" max="16141" width="12.7109375" style="104" customWidth="1"/>
    <col min="16142" max="16142" width="14.7109375" style="104" customWidth="1"/>
    <col min="16143" max="16143" width="11.7109375" style="104" customWidth="1"/>
    <col min="16144" max="16384" width="9.140625" style="104"/>
  </cols>
  <sheetData>
    <row r="1" spans="1:15" s="178" customFormat="1" ht="57.75" customHeight="1" thickBot="1">
      <c r="A1" s="293" t="s">
        <v>1054</v>
      </c>
      <c r="B1" s="294"/>
      <c r="C1" s="294"/>
      <c r="D1" s="294"/>
      <c r="E1" s="294"/>
      <c r="F1" s="294"/>
      <c r="G1" s="294"/>
      <c r="H1" s="294"/>
      <c r="I1" s="294"/>
      <c r="J1" s="295"/>
      <c r="K1" s="177"/>
      <c r="L1" s="177"/>
    </row>
    <row r="2" spans="1:15" s="178" customFormat="1" ht="15.75">
      <c r="A2" s="296" t="s">
        <v>1067</v>
      </c>
      <c r="B2" s="297"/>
      <c r="C2" s="297"/>
      <c r="D2" s="297"/>
      <c r="E2" s="297"/>
      <c r="F2" s="297"/>
      <c r="G2" s="297"/>
      <c r="H2" s="297"/>
      <c r="I2" s="297"/>
      <c r="J2" s="298"/>
      <c r="K2" s="179"/>
      <c r="L2" s="180"/>
    </row>
    <row r="3" spans="1:15" s="178" customFormat="1">
      <c r="A3" s="299" t="s">
        <v>1055</v>
      </c>
      <c r="B3" s="300"/>
      <c r="C3" s="300"/>
      <c r="D3" s="300"/>
      <c r="E3" s="300"/>
      <c r="F3" s="300"/>
      <c r="G3" s="300"/>
      <c r="H3" s="300"/>
      <c r="I3" s="300"/>
      <c r="J3" s="301"/>
      <c r="K3" s="181"/>
      <c r="L3" s="181"/>
      <c r="M3" s="181"/>
    </row>
    <row r="4" spans="1:15" s="178" customFormat="1" ht="13.5" customHeight="1">
      <c r="A4" s="299" t="s">
        <v>1070</v>
      </c>
      <c r="B4" s="300"/>
      <c r="C4" s="300"/>
      <c r="D4" s="300"/>
      <c r="E4" s="300"/>
      <c r="F4" s="300"/>
      <c r="G4" s="300"/>
      <c r="H4" s="300"/>
      <c r="I4" s="300"/>
      <c r="J4" s="301"/>
      <c r="K4" s="179"/>
      <c r="L4" s="180"/>
    </row>
    <row r="5" spans="1:15" s="187" customFormat="1">
      <c r="A5" s="183" t="s">
        <v>615</v>
      </c>
      <c r="B5" s="183" t="s">
        <v>1056</v>
      </c>
      <c r="C5" s="183" t="s">
        <v>1057</v>
      </c>
      <c r="D5" s="220" t="s">
        <v>1058</v>
      </c>
      <c r="E5" s="220" t="s">
        <v>1059</v>
      </c>
      <c r="F5" s="220" t="s">
        <v>1060</v>
      </c>
      <c r="G5" s="220" t="s">
        <v>1061</v>
      </c>
      <c r="H5" s="220" t="s">
        <v>1062</v>
      </c>
      <c r="I5" s="220" t="s">
        <v>1063</v>
      </c>
      <c r="J5" s="184" t="s">
        <v>1064</v>
      </c>
      <c r="K5" s="185"/>
      <c r="L5" s="186"/>
    </row>
    <row r="6" spans="1:15" s="178" customFormat="1" ht="14.1" customHeight="1">
      <c r="A6" s="302" t="str">
        <f>SERVIÇOS!C11</f>
        <v>A</v>
      </c>
      <c r="B6" s="304" t="str">
        <f>SERVIÇOS!E11</f>
        <v>SERVIÇOS PRELIMINARES</v>
      </c>
      <c r="C6" s="217">
        <v>1</v>
      </c>
      <c r="D6" s="198"/>
      <c r="E6" s="221"/>
      <c r="F6" s="221"/>
      <c r="G6" s="221"/>
      <c r="H6" s="221"/>
      <c r="I6" s="221"/>
      <c r="J6" s="188">
        <f>C6</f>
        <v>1</v>
      </c>
      <c r="L6" s="190"/>
      <c r="M6" s="191"/>
      <c r="N6" s="191"/>
    </row>
    <row r="7" spans="1:15" s="178" customFormat="1" ht="14.1" customHeight="1">
      <c r="A7" s="303"/>
      <c r="B7" s="305"/>
      <c r="C7" s="218">
        <f>SERVIÇOS!J11</f>
        <v>4617.57</v>
      </c>
      <c r="D7" s="222"/>
      <c r="E7" s="223"/>
      <c r="F7" s="223"/>
      <c r="G7" s="223"/>
      <c r="H7" s="223"/>
      <c r="I7" s="223"/>
      <c r="J7" s="194">
        <f>SUM(C7)</f>
        <v>4617.57</v>
      </c>
      <c r="L7" s="190"/>
      <c r="M7" s="191"/>
      <c r="N7" s="191"/>
    </row>
    <row r="8" spans="1:15" s="178" customFormat="1" ht="14.1" customHeight="1">
      <c r="A8" s="302" t="str">
        <f>SERVIÇOS!C14</f>
        <v>B</v>
      </c>
      <c r="B8" s="304" t="str">
        <f>SERVIÇOS!E14</f>
        <v>MOVIMENTO DE TERRA</v>
      </c>
      <c r="C8" s="188">
        <v>1</v>
      </c>
      <c r="D8" s="197"/>
      <c r="E8" s="198"/>
      <c r="F8" s="198"/>
      <c r="G8" s="198"/>
      <c r="H8" s="198"/>
      <c r="I8" s="198"/>
      <c r="J8" s="188">
        <f>C8</f>
        <v>1</v>
      </c>
      <c r="L8" s="190"/>
      <c r="M8" s="191"/>
      <c r="N8" s="179"/>
    </row>
    <row r="9" spans="1:15" s="178" customFormat="1" ht="14.1" customHeight="1">
      <c r="A9" s="303"/>
      <c r="B9" s="305"/>
      <c r="C9" s="196">
        <f>SERVIÇOS!J14</f>
        <v>2849</v>
      </c>
      <c r="D9" s="197"/>
      <c r="E9" s="198"/>
      <c r="F9" s="198"/>
      <c r="G9" s="198"/>
      <c r="H9" s="198"/>
      <c r="I9" s="198"/>
      <c r="J9" s="199">
        <f>SUM(C9)</f>
        <v>2849</v>
      </c>
      <c r="L9" s="190"/>
      <c r="M9" s="191"/>
      <c r="N9" s="179"/>
    </row>
    <row r="10" spans="1:15" s="178" customFormat="1" ht="14.1" customHeight="1">
      <c r="A10" s="306" t="str">
        <f>SERVIÇOS!C21</f>
        <v>C</v>
      </c>
      <c r="B10" s="308" t="str">
        <f>SERVIÇOS!E21</f>
        <v>ELEMENTOS ESTRUTURAIS DIVERSOS</v>
      </c>
      <c r="C10" s="219">
        <v>0.8</v>
      </c>
      <c r="D10" s="188">
        <v>0.2</v>
      </c>
      <c r="E10" s="221"/>
      <c r="F10" s="221"/>
      <c r="G10" s="221"/>
      <c r="H10" s="221"/>
      <c r="I10" s="221"/>
      <c r="J10" s="188">
        <f>SUM(C10:D10)</f>
        <v>1</v>
      </c>
      <c r="L10" s="190"/>
      <c r="M10" s="191"/>
      <c r="N10" s="191"/>
    </row>
    <row r="11" spans="1:15" s="178" customFormat="1" ht="14.1" customHeight="1">
      <c r="A11" s="307"/>
      <c r="B11" s="308"/>
      <c r="C11" s="234">
        <f>SERVIÇOS!J21*0.8</f>
        <v>43853.624000000003</v>
      </c>
      <c r="D11" s="192">
        <f>SERVIÇOS!J21*0.2</f>
        <v>10963.406000000001</v>
      </c>
      <c r="E11" s="223"/>
      <c r="F11" s="223"/>
      <c r="G11" s="223"/>
      <c r="H11" s="223"/>
      <c r="I11" s="223"/>
      <c r="J11" s="194">
        <f>SUM(C11:D11)</f>
        <v>54817.030000000006</v>
      </c>
      <c r="L11" s="190"/>
      <c r="M11" s="191"/>
      <c r="N11" s="191"/>
    </row>
    <row r="12" spans="1:15" s="178" customFormat="1" ht="14.1" customHeight="1">
      <c r="A12" s="306" t="str">
        <f>SERVIÇOS!C30</f>
        <v>D</v>
      </c>
      <c r="B12" s="308" t="str">
        <f>SERVIÇOS!E30</f>
        <v>DIVISÓRIAS E PAREDES</v>
      </c>
      <c r="C12" s="188">
        <v>0.5</v>
      </c>
      <c r="D12" s="188">
        <v>0.25</v>
      </c>
      <c r="E12" s="188">
        <v>0.25</v>
      </c>
      <c r="F12" s="198"/>
      <c r="G12" s="198"/>
      <c r="H12" s="198"/>
      <c r="I12" s="198"/>
      <c r="J12" s="188">
        <f>SUM(C12:E12)</f>
        <v>1</v>
      </c>
      <c r="L12" s="190"/>
      <c r="M12" s="191"/>
      <c r="N12" s="179"/>
    </row>
    <row r="13" spans="1:15" s="178" customFormat="1" ht="14.1" customHeight="1">
      <c r="A13" s="307"/>
      <c r="B13" s="308"/>
      <c r="C13" s="232">
        <f>SERVIÇOS!J30/2</f>
        <v>22188.184999999998</v>
      </c>
      <c r="D13" s="237">
        <f>SERVIÇOS!J30/4</f>
        <v>11094.092499999999</v>
      </c>
      <c r="E13" s="237">
        <f>SUM(SERVIÇOS!J31:J37)/4</f>
        <v>11094.092499999999</v>
      </c>
      <c r="F13" s="233"/>
      <c r="G13" s="198"/>
      <c r="H13" s="198"/>
      <c r="I13" s="198"/>
      <c r="J13" s="199">
        <f>SUM(C13:E13)</f>
        <v>44376.369999999995</v>
      </c>
      <c r="L13" s="190"/>
      <c r="M13" s="191"/>
      <c r="N13" s="179"/>
    </row>
    <row r="14" spans="1:15" s="178" customFormat="1" ht="14.1" customHeight="1">
      <c r="A14" s="306" t="str">
        <f>SERVIÇOS!C38</f>
        <v>E</v>
      </c>
      <c r="B14" s="308" t="str">
        <f>SERVIÇOS!E38</f>
        <v>ESQUADRIAS E ACESSÓRIOS</v>
      </c>
      <c r="C14" s="198"/>
      <c r="D14" s="198"/>
      <c r="E14" s="221"/>
      <c r="F14" s="231">
        <v>0.2</v>
      </c>
      <c r="G14" s="189">
        <v>0.2</v>
      </c>
      <c r="H14" s="189">
        <v>0.2</v>
      </c>
      <c r="I14" s="235">
        <v>0.4</v>
      </c>
      <c r="J14" s="188">
        <f>SUM(F14:I14)</f>
        <v>1</v>
      </c>
      <c r="L14" s="190"/>
      <c r="M14" s="216"/>
      <c r="N14" s="179"/>
      <c r="O14" s="200"/>
    </row>
    <row r="15" spans="1:15" s="178" customFormat="1" ht="14.1" customHeight="1">
      <c r="A15" s="307"/>
      <c r="B15" s="308"/>
      <c r="C15" s="222"/>
      <c r="D15" s="222"/>
      <c r="E15" s="223"/>
      <c r="F15" s="232">
        <f>SERVIÇOS!J38*0.2</f>
        <v>33142.502</v>
      </c>
      <c r="G15" s="193">
        <f>SERVIÇOS!J38*0.2</f>
        <v>33142.502</v>
      </c>
      <c r="H15" s="193">
        <f>SERVIÇOS!J38*0.2</f>
        <v>33142.502</v>
      </c>
      <c r="I15" s="236">
        <f>SERVIÇOS!J38*0.4</f>
        <v>66285.004000000001</v>
      </c>
      <c r="J15" s="230">
        <f>SUM(F15:I15)</f>
        <v>165712.51</v>
      </c>
      <c r="N15" s="179"/>
    </row>
    <row r="16" spans="1:15" s="178" customFormat="1" ht="14.1" customHeight="1">
      <c r="A16" s="306" t="str">
        <f>SERVIÇOS!C64</f>
        <v>F</v>
      </c>
      <c r="B16" s="308" t="str">
        <f>SERVIÇOS!E64</f>
        <v>FACHADA</v>
      </c>
      <c r="C16" s="198"/>
      <c r="D16" s="198"/>
      <c r="E16" s="198"/>
      <c r="F16" s="188">
        <v>0.2</v>
      </c>
      <c r="G16" s="188">
        <v>0.2</v>
      </c>
      <c r="H16" s="188">
        <v>0.2</v>
      </c>
      <c r="I16" s="217">
        <v>0.4</v>
      </c>
      <c r="J16" s="188">
        <f>SUM(F16:I16)</f>
        <v>1</v>
      </c>
      <c r="N16" s="179"/>
    </row>
    <row r="17" spans="1:14" s="178" customFormat="1" ht="14.1" customHeight="1">
      <c r="A17" s="307"/>
      <c r="B17" s="308"/>
      <c r="C17" s="223"/>
      <c r="D17" s="198"/>
      <c r="E17" s="198"/>
      <c r="F17" s="237">
        <f>SERVIÇOS!J64*0.2</f>
        <v>40385.292666666675</v>
      </c>
      <c r="G17" s="237">
        <f>SERVIÇOS!J64*0.2</f>
        <v>40385.292666666675</v>
      </c>
      <c r="H17" s="237">
        <f>SERVIÇOS!J64*0.2</f>
        <v>40385.292666666675</v>
      </c>
      <c r="I17" s="245">
        <f>SERVIÇOS!J64*0.4</f>
        <v>80770.585333333351</v>
      </c>
      <c r="J17" s="199">
        <f>SUM(F17:I17)</f>
        <v>201926.46333333338</v>
      </c>
      <c r="L17" s="201"/>
      <c r="N17" s="179"/>
    </row>
    <row r="18" spans="1:14" s="178" customFormat="1" ht="14.1" customHeight="1">
      <c r="A18" s="306" t="s">
        <v>774</v>
      </c>
      <c r="B18" s="308" t="str">
        <f>SERVIÇOS!E67</f>
        <v>ELEVADOR</v>
      </c>
      <c r="C18" s="198"/>
      <c r="D18" s="198"/>
      <c r="E18" s="231">
        <v>0.2</v>
      </c>
      <c r="F18" s="189">
        <v>0.2</v>
      </c>
      <c r="G18" s="189">
        <v>0.2</v>
      </c>
      <c r="H18" s="189">
        <v>0.2</v>
      </c>
      <c r="I18" s="235">
        <v>0.2</v>
      </c>
      <c r="J18" s="188">
        <f>SUM(E18:I18)</f>
        <v>1</v>
      </c>
      <c r="N18" s="179"/>
    </row>
    <row r="19" spans="1:14" s="178" customFormat="1" ht="14.1" customHeight="1">
      <c r="A19" s="307"/>
      <c r="B19" s="308"/>
      <c r="C19" s="222"/>
      <c r="D19" s="222"/>
      <c r="E19" s="232">
        <f>SERVIÇOS!J67/5</f>
        <v>18198.519333333334</v>
      </c>
      <c r="F19" s="193">
        <f>SERVIÇOS!J67/5</f>
        <v>18198.519333333334</v>
      </c>
      <c r="G19" s="193">
        <f>SERVIÇOS!J67/5</f>
        <v>18198.519333333334</v>
      </c>
      <c r="H19" s="193">
        <f>SERVIÇOS!J67/5</f>
        <v>18198.519333333334</v>
      </c>
      <c r="I19" s="236">
        <f>SERVIÇOS!J67/5</f>
        <v>18198.519333333334</v>
      </c>
      <c r="J19" s="230">
        <f>SUM(E19:I19)</f>
        <v>90992.596666666665</v>
      </c>
      <c r="K19" s="179"/>
      <c r="N19" s="200"/>
    </row>
    <row r="20" spans="1:14" s="178" customFormat="1" ht="14.1" customHeight="1">
      <c r="A20" s="306" t="s">
        <v>261</v>
      </c>
      <c r="B20" s="308" t="str">
        <f>SERVIÇOS!E69</f>
        <v>INSTALAÇÕES ELÉTRICAS</v>
      </c>
      <c r="C20" s="198"/>
      <c r="D20" s="239"/>
      <c r="E20" s="188">
        <v>0.25</v>
      </c>
      <c r="F20" s="188">
        <v>0.25</v>
      </c>
      <c r="G20" s="188">
        <v>0.25</v>
      </c>
      <c r="H20" s="188">
        <v>0.25</v>
      </c>
      <c r="I20" s="195"/>
      <c r="J20" s="188">
        <v>1</v>
      </c>
      <c r="K20" s="202"/>
      <c r="L20" s="202"/>
      <c r="M20" s="202"/>
    </row>
    <row r="21" spans="1:14" s="178" customFormat="1" ht="14.1" customHeight="1">
      <c r="A21" s="307"/>
      <c r="B21" s="308"/>
      <c r="C21" s="223"/>
      <c r="D21" s="198"/>
      <c r="E21" s="237">
        <f>SERVIÇOS!J69/4</f>
        <v>54458.569999999985</v>
      </c>
      <c r="F21" s="237">
        <f>SERVIÇOS!J69/4</f>
        <v>54458.569999999985</v>
      </c>
      <c r="G21" s="237">
        <f>SERVIÇOS!J69/4</f>
        <v>54458.569999999985</v>
      </c>
      <c r="H21" s="237">
        <f>SERVIÇOS!J69/4</f>
        <v>54458.569999999985</v>
      </c>
      <c r="I21" s="233"/>
      <c r="J21" s="199">
        <f>SUM(E21:H21)</f>
        <v>217834.27999999994</v>
      </c>
      <c r="K21" s="203"/>
      <c r="L21" s="203"/>
      <c r="M21" s="203"/>
    </row>
    <row r="22" spans="1:14" ht="14.1" customHeight="1">
      <c r="A22" s="302" t="s">
        <v>848</v>
      </c>
      <c r="B22" s="308" t="str">
        <f>SERVIÇOS!E135</f>
        <v>SISTEMA DE PROTEÇÃO CONTRA DESCARGAS ATMOSFÉRICAS - SPDA</v>
      </c>
      <c r="C22" s="198"/>
      <c r="D22" s="188">
        <v>0.5</v>
      </c>
      <c r="E22" s="231">
        <v>0.5</v>
      </c>
      <c r="F22" s="221"/>
      <c r="G22" s="221"/>
      <c r="H22" s="221"/>
      <c r="I22" s="221"/>
      <c r="J22" s="188">
        <f>SUM(C22:E22)</f>
        <v>1</v>
      </c>
      <c r="K22" s="103"/>
      <c r="L22" s="103"/>
      <c r="M22" s="103"/>
    </row>
    <row r="23" spans="1:14" ht="21.75" customHeight="1">
      <c r="A23" s="303"/>
      <c r="B23" s="308"/>
      <c r="C23" s="222"/>
      <c r="D23" s="192">
        <f>SERVIÇOS!J135/2</f>
        <v>13290.744999999999</v>
      </c>
      <c r="E23" s="232">
        <f>SERVIÇOS!J135/2</f>
        <v>13290.744999999999</v>
      </c>
      <c r="F23" s="223"/>
      <c r="G23" s="223"/>
      <c r="H23" s="223"/>
      <c r="I23" s="223"/>
      <c r="J23" s="194">
        <f>SUM(D23:E23)</f>
        <v>26581.489999999998</v>
      </c>
      <c r="K23" s="103"/>
      <c r="L23" s="103"/>
      <c r="M23" s="103"/>
    </row>
    <row r="24" spans="1:14" ht="14.1" customHeight="1">
      <c r="A24" s="302" t="s">
        <v>863</v>
      </c>
      <c r="B24" s="308" t="str">
        <f>SERVIÇOS!E149</f>
        <v>INSTALAÇÕES DE TELEFONIA E LÓGICA</v>
      </c>
      <c r="C24" s="198"/>
      <c r="D24" s="195"/>
      <c r="E24" s="195"/>
      <c r="F24" s="188">
        <v>0.5</v>
      </c>
      <c r="G24" s="188">
        <v>0.25</v>
      </c>
      <c r="H24" s="188">
        <v>0.25</v>
      </c>
      <c r="I24" s="198"/>
      <c r="J24" s="188">
        <f>SUM(F24:H24)</f>
        <v>1</v>
      </c>
      <c r="K24" s="103"/>
      <c r="L24" s="103" t="s">
        <v>1065</v>
      </c>
      <c r="M24" s="103"/>
    </row>
    <row r="25" spans="1:14" ht="14.1" customHeight="1">
      <c r="A25" s="303"/>
      <c r="B25" s="308"/>
      <c r="C25" s="223"/>
      <c r="D25" s="198"/>
      <c r="E25" s="198"/>
      <c r="F25" s="237">
        <f>SERVIÇOS!J149/2</f>
        <v>3914.2349999999997</v>
      </c>
      <c r="G25" s="237">
        <f>SERVIÇOS!J149/4</f>
        <v>1957.1174999999998</v>
      </c>
      <c r="H25" s="237">
        <f>SERVIÇOS!J149/4</f>
        <v>1957.1174999999998</v>
      </c>
      <c r="I25" s="233"/>
      <c r="J25" s="199">
        <f>SUM(F25:H25)</f>
        <v>7828.4699999999993</v>
      </c>
    </row>
    <row r="26" spans="1:14" ht="14.1" customHeight="1">
      <c r="A26" s="302" t="s">
        <v>725</v>
      </c>
      <c r="B26" s="308" t="str">
        <f>SERVIÇOS!E157</f>
        <v>INSTALACOES DE PREVENCAO CONTRA INCENDIOS</v>
      </c>
      <c r="C26" s="219">
        <v>0.5</v>
      </c>
      <c r="D26" s="188">
        <v>0.2</v>
      </c>
      <c r="E26" s="189">
        <v>0.2</v>
      </c>
      <c r="F26" s="231">
        <v>0.1</v>
      </c>
      <c r="G26" s="221"/>
      <c r="H26" s="221"/>
      <c r="I26" s="221"/>
      <c r="J26" s="188">
        <f>SUM(C26:I26)</f>
        <v>0.99999999999999989</v>
      </c>
    </row>
    <row r="27" spans="1:14" ht="14.1" customHeight="1">
      <c r="A27" s="303"/>
      <c r="B27" s="308"/>
      <c r="C27" s="234">
        <f>SERVIÇOS!J157/2</f>
        <v>8835.5850000000009</v>
      </c>
      <c r="D27" s="192">
        <f>SERVIÇOS!J157/5</f>
        <v>3534.2340000000004</v>
      </c>
      <c r="E27" s="193">
        <f>SERVIÇOS!J157/5</f>
        <v>3534.2340000000004</v>
      </c>
      <c r="F27" s="232">
        <f>SERVIÇOS!J157/10</f>
        <v>1767.1170000000002</v>
      </c>
      <c r="G27" s="223"/>
      <c r="H27" s="223"/>
      <c r="I27" s="223"/>
      <c r="J27" s="194">
        <f>SUM(C27:I27)</f>
        <v>17671.170000000002</v>
      </c>
    </row>
    <row r="28" spans="1:14" ht="14.1" customHeight="1">
      <c r="A28" s="302" t="s">
        <v>532</v>
      </c>
      <c r="B28" s="304" t="str">
        <f>SERVIÇOS!E172</f>
        <v>INSTALAÇÕES HIDROSSANITÁRIAS</v>
      </c>
      <c r="C28" s="188">
        <v>0.9</v>
      </c>
      <c r="D28" s="188">
        <v>0.1</v>
      </c>
      <c r="E28" s="195"/>
      <c r="F28" s="195"/>
      <c r="G28" s="198"/>
      <c r="H28" s="198"/>
      <c r="I28" s="198"/>
      <c r="J28" s="188">
        <f>SUM(C28:D28)</f>
        <v>1</v>
      </c>
    </row>
    <row r="29" spans="1:14" ht="14.1" customHeight="1">
      <c r="A29" s="303"/>
      <c r="B29" s="305"/>
      <c r="C29" s="232">
        <f>SERVIÇOS!J172*0.9</f>
        <v>44272.458000000013</v>
      </c>
      <c r="D29" s="240">
        <f>SERVIÇOS!J172*0.1</f>
        <v>4919.1620000000012</v>
      </c>
      <c r="E29" s="198"/>
      <c r="F29" s="198"/>
      <c r="G29" s="198"/>
      <c r="H29" s="198"/>
      <c r="I29" s="198"/>
      <c r="J29" s="230">
        <f>SUM(C29:D29)</f>
        <v>49191.620000000017</v>
      </c>
    </row>
    <row r="30" spans="1:14" ht="14.1" customHeight="1">
      <c r="A30" s="302" t="s">
        <v>7</v>
      </c>
      <c r="B30" s="304" t="str">
        <f>SERVIÇOS!E223</f>
        <v>APARELHOS SANITÁRIOS, LOUÇAS, METAIS E OUTROS</v>
      </c>
      <c r="C30" s="198"/>
      <c r="D30" s="198"/>
      <c r="E30" s="221"/>
      <c r="F30" s="221"/>
      <c r="G30" s="231">
        <v>0.75</v>
      </c>
      <c r="H30" s="231">
        <v>0.25</v>
      </c>
      <c r="I30" s="221"/>
      <c r="J30" s="188">
        <f>SUM(C30:I30)</f>
        <v>1</v>
      </c>
    </row>
    <row r="31" spans="1:14" ht="14.1" customHeight="1">
      <c r="A31" s="303"/>
      <c r="B31" s="305"/>
      <c r="C31" s="222"/>
      <c r="D31" s="222"/>
      <c r="E31" s="223"/>
      <c r="F31" s="223"/>
      <c r="G31" s="232">
        <f>SERVIÇOS!J223*0.75</f>
        <v>29980.334999999999</v>
      </c>
      <c r="H31" s="232">
        <f>SERVIÇOS!J223/4</f>
        <v>9993.4449999999997</v>
      </c>
      <c r="I31" s="223"/>
      <c r="J31" s="230">
        <f>SUM(G31:H31)</f>
        <v>39973.78</v>
      </c>
    </row>
    <row r="32" spans="1:14" ht="14.1" customHeight="1">
      <c r="A32" s="302" t="s">
        <v>743</v>
      </c>
      <c r="B32" s="304" t="str">
        <f>SERVIÇOS!E258</f>
        <v>REVESTIMENTOS E ISOLAMENTOS DE PAREDES E TETOS</v>
      </c>
      <c r="C32" s="198"/>
      <c r="D32" s="188">
        <v>0.25</v>
      </c>
      <c r="E32" s="188">
        <v>0.25</v>
      </c>
      <c r="F32" s="188">
        <v>0.25</v>
      </c>
      <c r="G32" s="188">
        <v>0.25</v>
      </c>
      <c r="H32" s="195"/>
      <c r="I32" s="198"/>
      <c r="J32" s="188">
        <v>1</v>
      </c>
    </row>
    <row r="33" spans="1:13" ht="14.1" customHeight="1">
      <c r="A33" s="303"/>
      <c r="B33" s="305"/>
      <c r="C33" s="223"/>
      <c r="D33" s="237">
        <f>SERVIÇOS!J258*0.25</f>
        <v>98291.006666666668</v>
      </c>
      <c r="E33" s="237">
        <f>SERVIÇOS!J258*0.25</f>
        <v>98291.006666666668</v>
      </c>
      <c r="F33" s="237">
        <f>SERVIÇOS!J258*0.25</f>
        <v>98291.006666666668</v>
      </c>
      <c r="G33" s="237">
        <f>SERVIÇOS!J258*0.25</f>
        <v>98291.006666666668</v>
      </c>
      <c r="H33" s="198"/>
      <c r="I33" s="198"/>
      <c r="J33" s="199">
        <f>SUM(D33:G33)</f>
        <v>393164.02666666667</v>
      </c>
    </row>
    <row r="34" spans="1:13" ht="14.1" customHeight="1">
      <c r="A34" s="302" t="s">
        <v>993</v>
      </c>
      <c r="B34" s="304" t="str">
        <f>SERVIÇOS!E282</f>
        <v>PINTURAS</v>
      </c>
      <c r="C34" s="198"/>
      <c r="D34" s="195"/>
      <c r="E34" s="188">
        <v>0.25</v>
      </c>
      <c r="F34" s="188">
        <v>0.25</v>
      </c>
      <c r="G34" s="188">
        <v>0.25</v>
      </c>
      <c r="H34" s="188">
        <v>0.25</v>
      </c>
      <c r="I34" s="198"/>
      <c r="J34" s="241">
        <f>SUM(E34:H34)</f>
        <v>1</v>
      </c>
    </row>
    <row r="35" spans="1:13" ht="14.1" customHeight="1">
      <c r="A35" s="303"/>
      <c r="B35" s="305"/>
      <c r="C35" s="223"/>
      <c r="D35" s="198"/>
      <c r="E35" s="237">
        <f>SERVIÇOS!J282/4</f>
        <v>28305.32</v>
      </c>
      <c r="F35" s="237">
        <f>SERVIÇOS!J282/4</f>
        <v>28305.32</v>
      </c>
      <c r="G35" s="237">
        <f>SERVIÇOS!J282/4</f>
        <v>28305.32</v>
      </c>
      <c r="H35" s="237">
        <f>SERVIÇOS!J282/4</f>
        <v>28305.32</v>
      </c>
      <c r="I35" s="198"/>
      <c r="J35" s="199">
        <f>SUM(E35:H35)</f>
        <v>113221.28</v>
      </c>
    </row>
    <row r="36" spans="1:13" ht="14.1" customHeight="1">
      <c r="A36" s="302" t="s">
        <v>723</v>
      </c>
      <c r="B36" s="304" t="str">
        <f>SERVIÇOS!E294</f>
        <v>PAVIMENTAÇÃO E CALÇAMENTO</v>
      </c>
      <c r="C36" s="188">
        <v>0.5</v>
      </c>
      <c r="D36" s="188">
        <v>0.5</v>
      </c>
      <c r="E36" s="195"/>
      <c r="F36" s="195"/>
      <c r="G36" s="195"/>
      <c r="H36" s="195"/>
      <c r="I36" s="198"/>
      <c r="J36" s="188">
        <v>1</v>
      </c>
    </row>
    <row r="37" spans="1:13" ht="14.1" customHeight="1">
      <c r="A37" s="303"/>
      <c r="B37" s="305"/>
      <c r="C37" s="196">
        <f>SERVIÇOS!J294/2</f>
        <v>17140.32</v>
      </c>
      <c r="D37" s="238">
        <f>SERVIÇOS!J294/2</f>
        <v>17140.32</v>
      </c>
      <c r="E37" s="198"/>
      <c r="F37" s="198"/>
      <c r="G37" s="198"/>
      <c r="H37" s="198"/>
      <c r="I37" s="198"/>
      <c r="J37" s="199">
        <f>SUM(C37:D37)</f>
        <v>34280.639999999999</v>
      </c>
    </row>
    <row r="38" spans="1:13" ht="14.1" customHeight="1">
      <c r="A38" s="204"/>
      <c r="B38" s="204"/>
      <c r="C38" s="242">
        <f>SUM(C7,C9,C11,C13,C27,C29,C37)</f>
        <v>143756.74200000003</v>
      </c>
      <c r="D38" s="242">
        <f>SUM(D11,D13,D23,D27,D29,D33,D37)</f>
        <v>159232.96616666668</v>
      </c>
      <c r="E38" s="243">
        <f>SUM(E13,E19,E21,E23,E27,E33,E35)</f>
        <v>227172.48749999999</v>
      </c>
      <c r="F38" s="206">
        <f>SUM(F15,F17,F19,F21,F25,F27,F33,F35)</f>
        <v>278462.56266666664</v>
      </c>
      <c r="G38" s="242">
        <f>SUM(G15,G17,G19,G21,G25,G31,G33,G35)</f>
        <v>304718.66316666664</v>
      </c>
      <c r="H38" s="242">
        <f>SUM(H15,H17,H19,H21,H25,H31,H35)</f>
        <v>186440.7665</v>
      </c>
      <c r="I38" s="242">
        <f>SUM(I15,I17,I19)</f>
        <v>165254.1086666667</v>
      </c>
      <c r="J38" s="205">
        <f>SUM(C38:I38)</f>
        <v>1465038.2966666666</v>
      </c>
      <c r="L38" s="104" t="s">
        <v>1068</v>
      </c>
      <c r="M38" s="244">
        <f>SERVIÇOS!F7</f>
        <v>1465038.2966666666</v>
      </c>
    </row>
    <row r="39" spans="1:13" ht="14.1" customHeight="1">
      <c r="A39" s="310" t="s">
        <v>1066</v>
      </c>
      <c r="B39" s="311"/>
      <c r="C39" s="207">
        <f>C38/J38</f>
        <v>9.8124903852058368E-2</v>
      </c>
      <c r="D39" s="207">
        <f>D38/J38</f>
        <v>0.10868860324604622</v>
      </c>
      <c r="E39" s="208">
        <f>E38/J38</f>
        <v>0.15506249086926599</v>
      </c>
      <c r="F39" s="208">
        <f>F38/J38</f>
        <v>0.19007186590291839</v>
      </c>
      <c r="G39" s="208">
        <f>G38/J38</f>
        <v>0.2079936503093324</v>
      </c>
      <c r="H39" s="208">
        <f>H38/J38</f>
        <v>0.12725999513063924</v>
      </c>
      <c r="I39" s="208">
        <f>I38/J38</f>
        <v>0.11279849068973942</v>
      </c>
      <c r="J39" s="207">
        <f>SUM(C39:I39)</f>
        <v>1</v>
      </c>
    </row>
    <row r="40" spans="1:13" ht="6" customHeight="1">
      <c r="A40" s="178"/>
      <c r="B40" s="209"/>
      <c r="C40" s="224"/>
      <c r="D40" s="210"/>
      <c r="E40" s="211"/>
      <c r="F40" s="211"/>
      <c r="G40" s="211"/>
      <c r="H40" s="211"/>
      <c r="I40" s="211"/>
      <c r="J40" s="212"/>
    </row>
    <row r="41" spans="1:13" ht="32.25" customHeight="1">
      <c r="A41" s="178"/>
      <c r="B41" s="209"/>
      <c r="C41" s="225"/>
      <c r="D41" s="213"/>
      <c r="E41" s="211"/>
      <c r="F41" s="211"/>
      <c r="G41" s="211"/>
      <c r="H41" s="211"/>
      <c r="I41" s="211"/>
      <c r="J41" s="214"/>
    </row>
    <row r="42" spans="1:13">
      <c r="A42" s="312" t="s">
        <v>1069</v>
      </c>
      <c r="B42" s="312"/>
      <c r="C42" s="312"/>
      <c r="D42" s="312"/>
      <c r="E42" s="312"/>
      <c r="F42" s="312"/>
      <c r="G42" s="312"/>
      <c r="H42" s="312"/>
      <c r="I42" s="312"/>
      <c r="J42" s="312"/>
    </row>
    <row r="44" spans="1:13">
      <c r="A44" s="313" t="s">
        <v>637</v>
      </c>
      <c r="B44" s="313"/>
      <c r="C44" s="313"/>
      <c r="D44" s="313"/>
      <c r="E44" s="313"/>
      <c r="F44" s="313"/>
      <c r="G44" s="313"/>
      <c r="H44" s="313"/>
      <c r="I44" s="313"/>
      <c r="J44" s="313"/>
    </row>
    <row r="45" spans="1:13">
      <c r="A45" s="314" t="s">
        <v>638</v>
      </c>
      <c r="B45" s="314"/>
      <c r="C45" s="314"/>
      <c r="D45" s="314"/>
      <c r="E45" s="314"/>
      <c r="F45" s="314"/>
      <c r="G45" s="314"/>
      <c r="H45" s="314"/>
      <c r="I45" s="314"/>
      <c r="J45" s="314"/>
    </row>
    <row r="46" spans="1:13">
      <c r="A46" s="309" t="s">
        <v>639</v>
      </c>
      <c r="B46" s="309"/>
      <c r="C46" s="309"/>
      <c r="D46" s="309"/>
      <c r="E46" s="309"/>
      <c r="F46" s="309"/>
      <c r="G46" s="309"/>
      <c r="H46" s="309"/>
      <c r="I46" s="309"/>
      <c r="J46" s="309"/>
    </row>
    <row r="47" spans="1:13">
      <c r="A47" s="309" t="s">
        <v>640</v>
      </c>
      <c r="B47" s="309"/>
      <c r="C47" s="309"/>
      <c r="D47" s="309"/>
      <c r="E47" s="309"/>
      <c r="F47" s="309"/>
      <c r="G47" s="309"/>
      <c r="H47" s="309"/>
      <c r="I47" s="309"/>
      <c r="J47" s="309"/>
    </row>
    <row r="48" spans="1:13">
      <c r="A48" s="103"/>
      <c r="B48" s="103"/>
      <c r="C48" s="226"/>
      <c r="D48" s="103"/>
      <c r="E48" s="103"/>
      <c r="F48" s="103"/>
      <c r="G48" s="103"/>
      <c r="H48" s="103"/>
      <c r="I48" s="103"/>
      <c r="J48" s="103"/>
    </row>
    <row r="52" spans="3:9">
      <c r="C52" s="227"/>
      <c r="D52" s="215"/>
      <c r="E52" s="215"/>
      <c r="F52" s="215"/>
      <c r="G52" s="215"/>
      <c r="H52" s="215"/>
      <c r="I52" s="215"/>
    </row>
    <row r="53" spans="3:9">
      <c r="C53" s="227"/>
      <c r="D53" s="215"/>
      <c r="E53" s="215"/>
      <c r="F53" s="215"/>
      <c r="G53" s="215"/>
      <c r="H53" s="215"/>
      <c r="I53" s="215"/>
    </row>
  </sheetData>
  <mergeCells count="42">
    <mergeCell ref="A46:J46"/>
    <mergeCell ref="A47:J47"/>
    <mergeCell ref="A28:A29"/>
    <mergeCell ref="B28:B29"/>
    <mergeCell ref="A30:A31"/>
    <mergeCell ref="B30:B31"/>
    <mergeCell ref="A34:A35"/>
    <mergeCell ref="B34:B35"/>
    <mergeCell ref="A36:A37"/>
    <mergeCell ref="B36:B37"/>
    <mergeCell ref="A39:B39"/>
    <mergeCell ref="A42:J42"/>
    <mergeCell ref="A44:J44"/>
    <mergeCell ref="A45:J45"/>
    <mergeCell ref="A24:A25"/>
    <mergeCell ref="B24:B25"/>
    <mergeCell ref="A26:A27"/>
    <mergeCell ref="B26:B27"/>
    <mergeCell ref="A32:A33"/>
    <mergeCell ref="B32:B33"/>
    <mergeCell ref="A8:A9"/>
    <mergeCell ref="B8:B9"/>
    <mergeCell ref="A10:A11"/>
    <mergeCell ref="B10:B11"/>
    <mergeCell ref="A22:A23"/>
    <mergeCell ref="B22:B23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1:J1"/>
    <mergeCell ref="A2:J2"/>
    <mergeCell ref="A3:J3"/>
    <mergeCell ref="A4:J4"/>
    <mergeCell ref="A6:A7"/>
    <mergeCell ref="B6:B7"/>
  </mergeCells>
  <pageMargins left="0.25" right="0.25" top="0.75" bottom="0.75" header="0.3" footer="0.3"/>
  <pageSetup paperSize="9" scale="95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63"/>
  <sheetViews>
    <sheetView topLeftCell="B134" workbookViewId="0">
      <selection activeCell="B216" sqref="A216:XFD219"/>
    </sheetView>
  </sheetViews>
  <sheetFormatPr defaultRowHeight="15"/>
  <cols>
    <col min="2" max="2" width="13.85546875" customWidth="1"/>
    <col min="3" max="3" width="12.85546875" customWidth="1"/>
    <col min="4" max="4" width="107.140625" customWidth="1"/>
    <col min="6" max="6" width="13.42578125" customWidth="1"/>
    <col min="7" max="8" width="15.42578125" customWidth="1"/>
  </cols>
  <sheetData>
    <row r="3" spans="2:8" ht="42" customHeight="1">
      <c r="B3" s="28" t="s">
        <v>267</v>
      </c>
      <c r="C3" s="28" t="s">
        <v>245</v>
      </c>
      <c r="D3" s="29" t="s">
        <v>295</v>
      </c>
      <c r="E3" s="28" t="s">
        <v>8</v>
      </c>
      <c r="F3" s="30" t="s">
        <v>5</v>
      </c>
      <c r="G3" s="30" t="s">
        <v>268</v>
      </c>
      <c r="H3" s="30" t="s">
        <v>269</v>
      </c>
    </row>
    <row r="4" spans="2:8" ht="31.5" customHeight="1">
      <c r="B4" s="25" t="s">
        <v>248</v>
      </c>
      <c r="C4" s="25" t="s">
        <v>249</v>
      </c>
      <c r="D4" s="26" t="s">
        <v>250</v>
      </c>
      <c r="E4" s="25" t="s">
        <v>6</v>
      </c>
      <c r="F4" s="27">
        <f>0.8*0.94*3</f>
        <v>2.2560000000000002</v>
      </c>
      <c r="G4" s="27">
        <v>291.3</v>
      </c>
      <c r="H4" s="27">
        <f>ROUND(F4*G4,2)</f>
        <v>657.17</v>
      </c>
    </row>
    <row r="5" spans="2:8" ht="31.5" customHeight="1">
      <c r="B5" s="25" t="s">
        <v>258</v>
      </c>
      <c r="C5" s="25">
        <v>100674</v>
      </c>
      <c r="D5" s="26" t="s">
        <v>266</v>
      </c>
      <c r="E5" s="25" t="s">
        <v>6</v>
      </c>
      <c r="F5" s="27">
        <f>0.8*0.94</f>
        <v>0.752</v>
      </c>
      <c r="G5" s="27">
        <v>246.19</v>
      </c>
      <c r="H5" s="27">
        <f t="shared" ref="H5:H11" si="0">ROUND(F5*G5,2)</f>
        <v>185.13</v>
      </c>
    </row>
    <row r="6" spans="2:8" ht="31.5" customHeight="1">
      <c r="B6" s="25" t="s">
        <v>248</v>
      </c>
      <c r="C6" s="25">
        <v>10492</v>
      </c>
      <c r="D6" s="26" t="s">
        <v>285</v>
      </c>
      <c r="E6" s="25" t="s">
        <v>6</v>
      </c>
      <c r="F6" s="27">
        <f>F4+F5</f>
        <v>3.008</v>
      </c>
      <c r="G6" s="27">
        <v>106.66</v>
      </c>
      <c r="H6" s="27">
        <f>ROUND(-F6*G6,2)</f>
        <v>-320.83</v>
      </c>
    </row>
    <row r="7" spans="2:8" ht="31.5" customHeight="1">
      <c r="B7" s="25" t="s">
        <v>248</v>
      </c>
      <c r="C7" s="25">
        <v>10506</v>
      </c>
      <c r="D7" s="26" t="s">
        <v>286</v>
      </c>
      <c r="E7" s="25" t="s">
        <v>6</v>
      </c>
      <c r="F7" s="27">
        <f>F4+F5</f>
        <v>3.008</v>
      </c>
      <c r="G7" s="27">
        <v>170.92</v>
      </c>
      <c r="H7" s="27">
        <f t="shared" ref="H7" si="1">ROUND(F7*G7,2)</f>
        <v>514.13</v>
      </c>
    </row>
    <row r="8" spans="2:8" ht="31.5" customHeight="1">
      <c r="B8" s="25" t="s">
        <v>248</v>
      </c>
      <c r="C8" s="25" t="s">
        <v>252</v>
      </c>
      <c r="D8" s="26" t="s">
        <v>253</v>
      </c>
      <c r="E8" s="25" t="s">
        <v>8</v>
      </c>
      <c r="F8" s="27">
        <f>24.4*F4</f>
        <v>55.046400000000006</v>
      </c>
      <c r="G8" s="27">
        <v>0.12</v>
      </c>
      <c r="H8" s="27">
        <f t="shared" si="0"/>
        <v>6.61</v>
      </c>
    </row>
    <row r="9" spans="2:8" ht="23.25" customHeight="1">
      <c r="B9" s="25" t="s">
        <v>248</v>
      </c>
      <c r="C9" s="25" t="s">
        <v>255</v>
      </c>
      <c r="D9" s="26" t="s">
        <v>256</v>
      </c>
      <c r="E9" s="25" t="s">
        <v>8</v>
      </c>
      <c r="F9" s="27">
        <f>1.2467*F4</f>
        <v>2.8125552000000003</v>
      </c>
      <c r="G9" s="27">
        <v>13.78</v>
      </c>
      <c r="H9" s="27">
        <f t="shared" si="0"/>
        <v>38.76</v>
      </c>
    </row>
    <row r="10" spans="2:8" ht="23.25" customHeight="1">
      <c r="B10" s="25" t="s">
        <v>258</v>
      </c>
      <c r="C10" s="25" t="s">
        <v>259</v>
      </c>
      <c r="D10" s="26" t="s">
        <v>260</v>
      </c>
      <c r="E10" s="25" t="s">
        <v>261</v>
      </c>
      <c r="F10" s="27">
        <f>1.707*F4</f>
        <v>3.8509920000000006</v>
      </c>
      <c r="G10" s="27">
        <v>22.37</v>
      </c>
      <c r="H10" s="27">
        <f t="shared" si="0"/>
        <v>86.15</v>
      </c>
    </row>
    <row r="11" spans="2:8" ht="23.25" customHeight="1">
      <c r="B11" s="25" t="s">
        <v>258</v>
      </c>
      <c r="C11" s="25" t="s">
        <v>263</v>
      </c>
      <c r="D11" s="26" t="s">
        <v>264</v>
      </c>
      <c r="E11" s="25" t="s">
        <v>261</v>
      </c>
      <c r="F11" s="27">
        <f>0.853*F4</f>
        <v>1.9243680000000001</v>
      </c>
      <c r="G11" s="27">
        <v>17.36</v>
      </c>
      <c r="H11" s="27">
        <f t="shared" si="0"/>
        <v>33.409999999999997</v>
      </c>
    </row>
    <row r="12" spans="2:8">
      <c r="G12" s="33" t="s">
        <v>4</v>
      </c>
      <c r="H12" s="34">
        <f>SUM(H4:H11)</f>
        <v>1200.53</v>
      </c>
    </row>
    <row r="15" spans="2:8" ht="36">
      <c r="B15" s="28" t="s">
        <v>267</v>
      </c>
      <c r="C15" s="37" t="s">
        <v>267</v>
      </c>
      <c r="D15" s="29" t="s">
        <v>296</v>
      </c>
      <c r="E15" s="28" t="s">
        <v>8</v>
      </c>
      <c r="F15" s="30" t="s">
        <v>5</v>
      </c>
      <c r="G15" s="30" t="s">
        <v>268</v>
      </c>
      <c r="H15" s="30" t="s">
        <v>269</v>
      </c>
    </row>
    <row r="16" spans="2:8" ht="24">
      <c r="B16" s="25" t="s">
        <v>248</v>
      </c>
      <c r="C16" s="25" t="s">
        <v>249</v>
      </c>
      <c r="D16" s="26" t="s">
        <v>250</v>
      </c>
      <c r="E16" s="25" t="s">
        <v>6</v>
      </c>
      <c r="F16" s="27">
        <f>1.04*1*3</f>
        <v>3.12</v>
      </c>
      <c r="G16" s="27">
        <v>291.3</v>
      </c>
      <c r="H16" s="27">
        <f>ROUND(F16*G16,2)</f>
        <v>908.86</v>
      </c>
    </row>
    <row r="17" spans="2:8" ht="24">
      <c r="B17" s="25" t="s">
        <v>258</v>
      </c>
      <c r="C17" s="25">
        <v>100674</v>
      </c>
      <c r="D17" s="26" t="s">
        <v>266</v>
      </c>
      <c r="E17" s="25" t="s">
        <v>6</v>
      </c>
      <c r="F17" s="27">
        <f>F16</f>
        <v>3.12</v>
      </c>
      <c r="G17" s="27">
        <v>246.19</v>
      </c>
      <c r="H17" s="27">
        <f t="shared" ref="H17:H23" si="2">ROUND(F17*G17,2)</f>
        <v>768.11</v>
      </c>
    </row>
    <row r="18" spans="2:8">
      <c r="B18" s="25" t="s">
        <v>248</v>
      </c>
      <c r="C18" s="25">
        <v>10492</v>
      </c>
      <c r="D18" s="26" t="s">
        <v>285</v>
      </c>
      <c r="E18" s="25" t="s">
        <v>6</v>
      </c>
      <c r="F18" s="27">
        <f>F16+F17</f>
        <v>6.24</v>
      </c>
      <c r="G18" s="27">
        <v>106.66</v>
      </c>
      <c r="H18" s="27">
        <f>ROUND(-F18*G18,2)</f>
        <v>-665.56</v>
      </c>
    </row>
    <row r="19" spans="2:8">
      <c r="B19" s="25" t="s">
        <v>248</v>
      </c>
      <c r="C19" s="25">
        <v>10506</v>
      </c>
      <c r="D19" s="26" t="s">
        <v>286</v>
      </c>
      <c r="E19" s="25" t="s">
        <v>6</v>
      </c>
      <c r="F19" s="27">
        <f>F16+F17</f>
        <v>6.24</v>
      </c>
      <c r="G19" s="27">
        <v>170.92</v>
      </c>
      <c r="H19" s="27">
        <f t="shared" ref="H19" si="3">ROUND(F19*G19,2)</f>
        <v>1066.54</v>
      </c>
    </row>
    <row r="20" spans="2:8" ht="24">
      <c r="B20" s="25" t="s">
        <v>248</v>
      </c>
      <c r="C20" s="25" t="s">
        <v>252</v>
      </c>
      <c r="D20" s="26" t="s">
        <v>253</v>
      </c>
      <c r="E20" s="25" t="s">
        <v>8</v>
      </c>
      <c r="F20" s="27">
        <f>24.4*F16</f>
        <v>76.128</v>
      </c>
      <c r="G20" s="27">
        <v>0.12</v>
      </c>
      <c r="H20" s="27">
        <f t="shared" si="2"/>
        <v>9.14</v>
      </c>
    </row>
    <row r="21" spans="2:8">
      <c r="B21" s="25" t="s">
        <v>248</v>
      </c>
      <c r="C21" s="25" t="s">
        <v>255</v>
      </c>
      <c r="D21" s="26" t="s">
        <v>256</v>
      </c>
      <c r="E21" s="25" t="s">
        <v>8</v>
      </c>
      <c r="F21" s="27">
        <f>1.2467*F16</f>
        <v>3.8897040000000001</v>
      </c>
      <c r="G21" s="27">
        <v>13.78</v>
      </c>
      <c r="H21" s="27">
        <f t="shared" si="2"/>
        <v>53.6</v>
      </c>
    </row>
    <row r="22" spans="2:8">
      <c r="B22" s="25" t="s">
        <v>258</v>
      </c>
      <c r="C22" s="25" t="s">
        <v>259</v>
      </c>
      <c r="D22" s="26" t="s">
        <v>260</v>
      </c>
      <c r="E22" s="25" t="s">
        <v>261</v>
      </c>
      <c r="F22" s="27">
        <f>1.707*F16</f>
        <v>5.3258400000000004</v>
      </c>
      <c r="G22" s="27">
        <v>22.37</v>
      </c>
      <c r="H22" s="27">
        <f t="shared" si="2"/>
        <v>119.14</v>
      </c>
    </row>
    <row r="23" spans="2:8">
      <c r="B23" s="25" t="s">
        <v>258</v>
      </c>
      <c r="C23" s="25" t="s">
        <v>263</v>
      </c>
      <c r="D23" s="26" t="s">
        <v>264</v>
      </c>
      <c r="E23" s="25" t="s">
        <v>261</v>
      </c>
      <c r="F23" s="27">
        <f>0.853*F16</f>
        <v>2.6613600000000002</v>
      </c>
      <c r="G23" s="27">
        <v>17.36</v>
      </c>
      <c r="H23" s="27">
        <f t="shared" si="2"/>
        <v>46.2</v>
      </c>
    </row>
    <row r="24" spans="2:8">
      <c r="G24" s="33" t="s">
        <v>4</v>
      </c>
      <c r="H24" s="34">
        <f>SUM(H16:H23)</f>
        <v>2306.0299999999993</v>
      </c>
    </row>
    <row r="27" spans="2:8" ht="36">
      <c r="B27" s="28" t="s">
        <v>267</v>
      </c>
      <c r="C27" s="37" t="s">
        <v>267</v>
      </c>
      <c r="D27" s="29" t="s">
        <v>297</v>
      </c>
      <c r="E27" s="28" t="s">
        <v>8</v>
      </c>
      <c r="F27" s="30" t="s">
        <v>5</v>
      </c>
      <c r="G27" s="30" t="s">
        <v>268</v>
      </c>
      <c r="H27" s="30" t="s">
        <v>269</v>
      </c>
    </row>
    <row r="28" spans="2:8" ht="24">
      <c r="B28" s="25" t="s">
        <v>248</v>
      </c>
      <c r="C28" s="25" t="s">
        <v>249</v>
      </c>
      <c r="D28" s="26" t="s">
        <v>250</v>
      </c>
      <c r="E28" s="25" t="s">
        <v>6</v>
      </c>
      <c r="F28" s="27">
        <f>1.04*1*6</f>
        <v>6.24</v>
      </c>
      <c r="G28" s="27">
        <v>291.3</v>
      </c>
      <c r="H28" s="27">
        <f>ROUND(F28*G28,2)</f>
        <v>1817.71</v>
      </c>
    </row>
    <row r="29" spans="2:8" ht="24">
      <c r="B29" s="25" t="s">
        <v>258</v>
      </c>
      <c r="C29" s="25">
        <v>100674</v>
      </c>
      <c r="D29" s="26" t="s">
        <v>266</v>
      </c>
      <c r="E29" s="25" t="s">
        <v>6</v>
      </c>
      <c r="F29" s="27">
        <f>1.04*1*3</f>
        <v>3.12</v>
      </c>
      <c r="G29" s="27">
        <v>246.19</v>
      </c>
      <c r="H29" s="27">
        <f t="shared" ref="H29:H35" si="4">ROUND(F29*G29,2)</f>
        <v>768.11</v>
      </c>
    </row>
    <row r="30" spans="2:8">
      <c r="B30" s="25" t="s">
        <v>248</v>
      </c>
      <c r="C30" s="25">
        <v>10492</v>
      </c>
      <c r="D30" s="26" t="s">
        <v>285</v>
      </c>
      <c r="E30" s="25" t="s">
        <v>6</v>
      </c>
      <c r="F30" s="27">
        <f>F28+F29</f>
        <v>9.36</v>
      </c>
      <c r="G30" s="27">
        <v>106.66</v>
      </c>
      <c r="H30" s="27">
        <f>ROUND(-F30*G30,2)</f>
        <v>-998.34</v>
      </c>
    </row>
    <row r="31" spans="2:8">
      <c r="B31" s="25" t="s">
        <v>248</v>
      </c>
      <c r="C31" s="25">
        <v>10506</v>
      </c>
      <c r="D31" s="26" t="s">
        <v>286</v>
      </c>
      <c r="E31" s="25" t="s">
        <v>6</v>
      </c>
      <c r="F31" s="27">
        <f>F28+F29</f>
        <v>9.36</v>
      </c>
      <c r="G31" s="27">
        <v>170.92</v>
      </c>
      <c r="H31" s="27">
        <f t="shared" ref="H31" si="5">ROUND(F31*G31,2)</f>
        <v>1599.81</v>
      </c>
    </row>
    <row r="32" spans="2:8" ht="24">
      <c r="B32" s="25" t="s">
        <v>248</v>
      </c>
      <c r="C32" s="25" t="s">
        <v>252</v>
      </c>
      <c r="D32" s="26" t="s">
        <v>253</v>
      </c>
      <c r="E32" s="25" t="s">
        <v>8</v>
      </c>
      <c r="F32" s="27">
        <f>24.4*F28</f>
        <v>152.256</v>
      </c>
      <c r="G32" s="27">
        <v>0.12</v>
      </c>
      <c r="H32" s="27">
        <f t="shared" si="4"/>
        <v>18.27</v>
      </c>
    </row>
    <row r="33" spans="2:8">
      <c r="B33" s="25" t="s">
        <v>248</v>
      </c>
      <c r="C33" s="25" t="s">
        <v>255</v>
      </c>
      <c r="D33" s="26" t="s">
        <v>256</v>
      </c>
      <c r="E33" s="25" t="s">
        <v>8</v>
      </c>
      <c r="F33" s="27">
        <f>1.2467*F28</f>
        <v>7.7794080000000001</v>
      </c>
      <c r="G33" s="27">
        <v>13.78</v>
      </c>
      <c r="H33" s="27">
        <f t="shared" si="4"/>
        <v>107.2</v>
      </c>
    </row>
    <row r="34" spans="2:8">
      <c r="B34" s="25" t="s">
        <v>258</v>
      </c>
      <c r="C34" s="25" t="s">
        <v>259</v>
      </c>
      <c r="D34" s="26" t="s">
        <v>260</v>
      </c>
      <c r="E34" s="25" t="s">
        <v>261</v>
      </c>
      <c r="F34" s="27">
        <f>1.707*F28</f>
        <v>10.651680000000001</v>
      </c>
      <c r="G34" s="27">
        <v>22.37</v>
      </c>
      <c r="H34" s="27">
        <f t="shared" si="4"/>
        <v>238.28</v>
      </c>
    </row>
    <row r="35" spans="2:8">
      <c r="B35" s="25" t="s">
        <v>258</v>
      </c>
      <c r="C35" s="25" t="s">
        <v>263</v>
      </c>
      <c r="D35" s="26" t="s">
        <v>264</v>
      </c>
      <c r="E35" s="25" t="s">
        <v>261</v>
      </c>
      <c r="F35" s="27">
        <f>0.853*F28</f>
        <v>5.3227200000000003</v>
      </c>
      <c r="G35" s="27">
        <v>17.36</v>
      </c>
      <c r="H35" s="27">
        <f t="shared" si="4"/>
        <v>92.4</v>
      </c>
    </row>
    <row r="36" spans="2:8">
      <c r="G36" s="33" t="s">
        <v>4</v>
      </c>
      <c r="H36" s="34">
        <f>SUM(H28:H35)</f>
        <v>3643.44</v>
      </c>
    </row>
    <row r="38" spans="2:8" ht="24">
      <c r="B38" s="28" t="s">
        <v>278</v>
      </c>
      <c r="C38" s="37" t="s">
        <v>267</v>
      </c>
      <c r="D38" s="29" t="s">
        <v>305</v>
      </c>
      <c r="E38" s="28" t="s">
        <v>6</v>
      </c>
      <c r="F38" s="30" t="s">
        <v>5</v>
      </c>
      <c r="G38" s="30" t="s">
        <v>247</v>
      </c>
      <c r="H38" s="30" t="s">
        <v>269</v>
      </c>
    </row>
    <row r="39" spans="2:8" ht="24">
      <c r="B39" s="25" t="s">
        <v>248</v>
      </c>
      <c r="C39" s="25" t="s">
        <v>279</v>
      </c>
      <c r="D39" s="26" t="s">
        <v>280</v>
      </c>
      <c r="E39" s="25" t="s">
        <v>6</v>
      </c>
      <c r="F39" s="27" t="s">
        <v>251</v>
      </c>
      <c r="G39" s="27">
        <v>215.93</v>
      </c>
      <c r="H39" s="27">
        <f t="shared" ref="H39:H45" si="6">ROUND(F39*G39,2)</f>
        <v>215.93</v>
      </c>
    </row>
    <row r="40" spans="2:8" ht="24">
      <c r="B40" s="25" t="s">
        <v>248</v>
      </c>
      <c r="C40" s="25" t="s">
        <v>252</v>
      </c>
      <c r="D40" s="26" t="s">
        <v>253</v>
      </c>
      <c r="E40" s="25" t="s">
        <v>8</v>
      </c>
      <c r="F40" s="27" t="s">
        <v>281</v>
      </c>
      <c r="G40" s="27">
        <v>0.12</v>
      </c>
      <c r="H40" s="27">
        <f t="shared" si="6"/>
        <v>2.09</v>
      </c>
    </row>
    <row r="41" spans="2:8">
      <c r="B41" s="25" t="s">
        <v>248</v>
      </c>
      <c r="C41" s="25">
        <v>10492</v>
      </c>
      <c r="D41" s="26" t="s">
        <v>285</v>
      </c>
      <c r="E41" s="25" t="s">
        <v>6</v>
      </c>
      <c r="F41" s="27">
        <v>1</v>
      </c>
      <c r="G41" s="27">
        <v>106.66</v>
      </c>
      <c r="H41" s="27">
        <f>ROUND(-F41*G41,2)</f>
        <v>-106.66</v>
      </c>
    </row>
    <row r="42" spans="2:8">
      <c r="B42" s="25" t="s">
        <v>248</v>
      </c>
      <c r="C42" s="25">
        <v>10506</v>
      </c>
      <c r="D42" s="26" t="s">
        <v>286</v>
      </c>
      <c r="E42" s="25" t="s">
        <v>6</v>
      </c>
      <c r="F42" s="27">
        <v>1</v>
      </c>
      <c r="G42" s="27">
        <v>170.92</v>
      </c>
      <c r="H42" s="27">
        <f t="shared" si="6"/>
        <v>170.92</v>
      </c>
    </row>
    <row r="43" spans="2:8">
      <c r="B43" s="25" t="s">
        <v>248</v>
      </c>
      <c r="C43" s="25" t="s">
        <v>255</v>
      </c>
      <c r="D43" s="26" t="s">
        <v>256</v>
      </c>
      <c r="E43" s="25" t="s">
        <v>8</v>
      </c>
      <c r="F43" s="27" t="s">
        <v>282</v>
      </c>
      <c r="G43" s="27">
        <v>13.78</v>
      </c>
      <c r="H43" s="27">
        <f t="shared" si="6"/>
        <v>5.84</v>
      </c>
    </row>
    <row r="44" spans="2:8">
      <c r="B44" s="25" t="s">
        <v>258</v>
      </c>
      <c r="C44" s="25" t="s">
        <v>259</v>
      </c>
      <c r="D44" s="26" t="s">
        <v>260</v>
      </c>
      <c r="E44" s="25" t="s">
        <v>261</v>
      </c>
      <c r="F44" s="27" t="s">
        <v>283</v>
      </c>
      <c r="G44" s="27">
        <v>22.37</v>
      </c>
      <c r="H44" s="27">
        <f t="shared" si="6"/>
        <v>16.11</v>
      </c>
    </row>
    <row r="45" spans="2:8">
      <c r="B45" s="25" t="s">
        <v>258</v>
      </c>
      <c r="C45" s="25" t="s">
        <v>263</v>
      </c>
      <c r="D45" s="26" t="s">
        <v>264</v>
      </c>
      <c r="E45" s="25" t="s">
        <v>261</v>
      </c>
      <c r="F45" s="27" t="s">
        <v>284</v>
      </c>
      <c r="G45" s="27">
        <v>17.36</v>
      </c>
      <c r="H45" s="27">
        <f t="shared" si="6"/>
        <v>6.25</v>
      </c>
    </row>
    <row r="46" spans="2:8">
      <c r="G46" s="33" t="s">
        <v>4</v>
      </c>
      <c r="H46" s="34">
        <f>SUM(H39:H45)</f>
        <v>310.47999999999996</v>
      </c>
    </row>
    <row r="48" spans="2:8" ht="29.25" customHeight="1">
      <c r="B48" s="28" t="s">
        <v>246</v>
      </c>
      <c r="C48" s="37" t="s">
        <v>267</v>
      </c>
      <c r="D48" s="29" t="s">
        <v>298</v>
      </c>
      <c r="E48" s="28" t="s">
        <v>6</v>
      </c>
      <c r="F48" s="30" t="s">
        <v>5</v>
      </c>
      <c r="G48" s="30" t="s">
        <v>247</v>
      </c>
      <c r="H48" s="30"/>
    </row>
    <row r="49" spans="2:8" ht="24">
      <c r="B49" s="25" t="s">
        <v>248</v>
      </c>
      <c r="C49" s="25" t="s">
        <v>249</v>
      </c>
      <c r="D49" s="26" t="s">
        <v>250</v>
      </c>
      <c r="E49" s="25" t="s">
        <v>6</v>
      </c>
      <c r="F49" s="27" t="s">
        <v>251</v>
      </c>
      <c r="G49" s="27">
        <v>291.3</v>
      </c>
      <c r="H49" s="27">
        <f t="shared" ref="H49" si="7">ROUND(F49*G49,2)</f>
        <v>291.3</v>
      </c>
    </row>
    <row r="50" spans="2:8">
      <c r="B50" s="25" t="s">
        <v>248</v>
      </c>
      <c r="C50" s="25">
        <v>10492</v>
      </c>
      <c r="D50" s="26" t="s">
        <v>285</v>
      </c>
      <c r="E50" s="25" t="s">
        <v>6</v>
      </c>
      <c r="F50" s="27">
        <v>1</v>
      </c>
      <c r="G50" s="27">
        <v>106.66</v>
      </c>
      <c r="H50" s="27">
        <f>ROUND(-F50*G50,2)</f>
        <v>-106.66</v>
      </c>
    </row>
    <row r="51" spans="2:8">
      <c r="B51" s="25" t="s">
        <v>248</v>
      </c>
      <c r="C51" s="25">
        <v>10506</v>
      </c>
      <c r="D51" s="26" t="s">
        <v>286</v>
      </c>
      <c r="E51" s="25" t="s">
        <v>6</v>
      </c>
      <c r="F51" s="27">
        <v>1</v>
      </c>
      <c r="G51" s="27">
        <v>170.92</v>
      </c>
      <c r="H51" s="27">
        <f t="shared" ref="H51:H55" si="8">ROUND(F51*G51,2)</f>
        <v>170.92</v>
      </c>
    </row>
    <row r="52" spans="2:8" ht="24">
      <c r="B52" s="25" t="s">
        <v>248</v>
      </c>
      <c r="C52" s="25" t="s">
        <v>252</v>
      </c>
      <c r="D52" s="26" t="s">
        <v>253</v>
      </c>
      <c r="E52" s="25" t="s">
        <v>8</v>
      </c>
      <c r="F52" s="27" t="s">
        <v>254</v>
      </c>
      <c r="G52" s="27">
        <v>0.12</v>
      </c>
      <c r="H52" s="27">
        <f t="shared" si="8"/>
        <v>2.93</v>
      </c>
    </row>
    <row r="53" spans="2:8">
      <c r="B53" s="25" t="s">
        <v>248</v>
      </c>
      <c r="C53" s="25" t="s">
        <v>255</v>
      </c>
      <c r="D53" s="26" t="s">
        <v>256</v>
      </c>
      <c r="E53" s="25" t="s">
        <v>8</v>
      </c>
      <c r="F53" s="27" t="s">
        <v>257</v>
      </c>
      <c r="G53" s="27">
        <v>13.78</v>
      </c>
      <c r="H53" s="27">
        <f t="shared" si="8"/>
        <v>17.18</v>
      </c>
    </row>
    <row r="54" spans="2:8">
      <c r="B54" s="25" t="s">
        <v>258</v>
      </c>
      <c r="C54" s="25" t="s">
        <v>259</v>
      </c>
      <c r="D54" s="26" t="s">
        <v>260</v>
      </c>
      <c r="E54" s="25" t="s">
        <v>261</v>
      </c>
      <c r="F54" s="27" t="s">
        <v>262</v>
      </c>
      <c r="G54" s="27">
        <v>22.37</v>
      </c>
      <c r="H54" s="27">
        <f t="shared" si="8"/>
        <v>38.19</v>
      </c>
    </row>
    <row r="55" spans="2:8">
      <c r="B55" s="25" t="s">
        <v>258</v>
      </c>
      <c r="C55" s="25" t="s">
        <v>263</v>
      </c>
      <c r="D55" s="26" t="s">
        <v>264</v>
      </c>
      <c r="E55" s="25" t="s">
        <v>261</v>
      </c>
      <c r="F55" s="27" t="s">
        <v>265</v>
      </c>
      <c r="G55" s="27">
        <v>17.36</v>
      </c>
      <c r="H55" s="27">
        <f t="shared" si="8"/>
        <v>14.81</v>
      </c>
    </row>
    <row r="56" spans="2:8">
      <c r="G56" s="33" t="s">
        <v>4</v>
      </c>
      <c r="H56" s="34">
        <f>SUM(H49:H55)</f>
        <v>428.67</v>
      </c>
    </row>
    <row r="58" spans="2:8" ht="36">
      <c r="B58" s="28" t="s">
        <v>287</v>
      </c>
      <c r="C58" s="37" t="s">
        <v>267</v>
      </c>
      <c r="D58" s="29" t="s">
        <v>299</v>
      </c>
      <c r="E58" s="28" t="s">
        <v>6</v>
      </c>
      <c r="F58" s="30" t="s">
        <v>5</v>
      </c>
      <c r="G58" s="30" t="s">
        <v>247</v>
      </c>
      <c r="H58" s="30" t="s">
        <v>4</v>
      </c>
    </row>
    <row r="59" spans="2:8" ht="24">
      <c r="B59" s="25" t="s">
        <v>248</v>
      </c>
      <c r="C59" s="25" t="s">
        <v>252</v>
      </c>
      <c r="D59" s="26" t="s">
        <v>253</v>
      </c>
      <c r="E59" s="25" t="s">
        <v>8</v>
      </c>
      <c r="F59" s="27" t="s">
        <v>288</v>
      </c>
      <c r="G59" s="27">
        <v>0.12</v>
      </c>
      <c r="H59" s="32">
        <f>ROUND(F59*G59,2)</f>
        <v>1.1000000000000001</v>
      </c>
    </row>
    <row r="60" spans="2:8" ht="24">
      <c r="B60" s="25" t="s">
        <v>248</v>
      </c>
      <c r="C60" s="25" t="s">
        <v>289</v>
      </c>
      <c r="D60" s="26" t="s">
        <v>290</v>
      </c>
      <c r="E60" s="25" t="s">
        <v>8</v>
      </c>
      <c r="F60" s="27" t="s">
        <v>291</v>
      </c>
      <c r="G60" s="27">
        <v>283.55</v>
      </c>
      <c r="H60" s="32">
        <f t="shared" ref="H60:H65" si="9">ROUND(F60*G60,2)</f>
        <v>196.78</v>
      </c>
    </row>
    <row r="61" spans="2:8">
      <c r="B61" s="25" t="s">
        <v>248</v>
      </c>
      <c r="C61" s="25">
        <v>10492</v>
      </c>
      <c r="D61" s="26" t="s">
        <v>285</v>
      </c>
      <c r="E61" s="25" t="s">
        <v>6</v>
      </c>
      <c r="F61" s="27">
        <v>1</v>
      </c>
      <c r="G61" s="27">
        <v>106.66</v>
      </c>
      <c r="H61" s="32">
        <f>ROUND(-F61*G61,2)</f>
        <v>-106.66</v>
      </c>
    </row>
    <row r="62" spans="2:8">
      <c r="B62" s="25" t="s">
        <v>248</v>
      </c>
      <c r="C62" s="25">
        <v>10506</v>
      </c>
      <c r="D62" s="26" t="s">
        <v>286</v>
      </c>
      <c r="E62" s="25" t="s">
        <v>6</v>
      </c>
      <c r="F62" s="27">
        <v>1</v>
      </c>
      <c r="G62" s="27">
        <v>170.92</v>
      </c>
      <c r="H62" s="32">
        <f t="shared" si="9"/>
        <v>170.92</v>
      </c>
    </row>
    <row r="63" spans="2:8">
      <c r="B63" s="25" t="s">
        <v>248</v>
      </c>
      <c r="C63" s="25" t="s">
        <v>255</v>
      </c>
      <c r="D63" s="26" t="s">
        <v>256</v>
      </c>
      <c r="E63" s="25" t="s">
        <v>8</v>
      </c>
      <c r="F63" s="27" t="s">
        <v>292</v>
      </c>
      <c r="G63" s="27">
        <v>13.78</v>
      </c>
      <c r="H63" s="32">
        <f t="shared" si="9"/>
        <v>8.59</v>
      </c>
    </row>
    <row r="64" spans="2:8">
      <c r="B64" s="25" t="s">
        <v>258</v>
      </c>
      <c r="C64" s="25" t="s">
        <v>259</v>
      </c>
      <c r="D64" s="26" t="s">
        <v>260</v>
      </c>
      <c r="E64" s="25" t="s">
        <v>261</v>
      </c>
      <c r="F64" s="27" t="s">
        <v>293</v>
      </c>
      <c r="G64" s="27">
        <v>22.37</v>
      </c>
      <c r="H64" s="32">
        <f t="shared" si="9"/>
        <v>11.61</v>
      </c>
    </row>
    <row r="65" spans="2:8">
      <c r="B65" s="25" t="s">
        <v>258</v>
      </c>
      <c r="C65" s="25" t="s">
        <v>263</v>
      </c>
      <c r="D65" s="26" t="s">
        <v>264</v>
      </c>
      <c r="E65" s="25" t="s">
        <v>261</v>
      </c>
      <c r="F65" s="27" t="s">
        <v>294</v>
      </c>
      <c r="G65" s="27">
        <v>17.36</v>
      </c>
      <c r="H65" s="32">
        <f t="shared" si="9"/>
        <v>4.5</v>
      </c>
    </row>
    <row r="66" spans="2:8">
      <c r="G66" s="33" t="s">
        <v>4</v>
      </c>
      <c r="H66" s="34">
        <f>SUM(H59:H65)</f>
        <v>286.83999999999997</v>
      </c>
    </row>
    <row r="69" spans="2:8">
      <c r="B69" s="28" t="s">
        <v>312</v>
      </c>
      <c r="C69" s="37" t="s">
        <v>267</v>
      </c>
      <c r="D69" s="29" t="s">
        <v>337</v>
      </c>
      <c r="E69" s="28" t="s">
        <v>6</v>
      </c>
      <c r="F69" s="30" t="s">
        <v>5</v>
      </c>
      <c r="G69" s="30"/>
      <c r="H69" s="30"/>
    </row>
    <row r="70" spans="2:8">
      <c r="B70" s="25" t="s">
        <v>248</v>
      </c>
      <c r="C70" s="25" t="s">
        <v>313</v>
      </c>
      <c r="D70" s="26" t="s">
        <v>314</v>
      </c>
      <c r="E70" s="25" t="s">
        <v>20</v>
      </c>
      <c r="F70" s="27" t="s">
        <v>315</v>
      </c>
      <c r="G70" s="31">
        <v>10.89</v>
      </c>
      <c r="H70" s="31">
        <f>ROUND(F70*G70,2)</f>
        <v>0.36</v>
      </c>
    </row>
    <row r="71" spans="2:8" ht="24">
      <c r="B71" s="25" t="s">
        <v>248</v>
      </c>
      <c r="C71" s="25" t="s">
        <v>316</v>
      </c>
      <c r="D71" s="26" t="s">
        <v>317</v>
      </c>
      <c r="E71" s="25" t="s">
        <v>8</v>
      </c>
      <c r="F71" s="27" t="s">
        <v>318</v>
      </c>
      <c r="G71" s="31">
        <v>1.21</v>
      </c>
      <c r="H71" s="31">
        <f t="shared" ref="H71:H77" si="10">ROUND(F71*G71,2)</f>
        <v>1.23</v>
      </c>
    </row>
    <row r="72" spans="2:8" ht="24">
      <c r="B72" s="25" t="s">
        <v>248</v>
      </c>
      <c r="C72" s="25" t="s">
        <v>319</v>
      </c>
      <c r="D72" s="26" t="s">
        <v>320</v>
      </c>
      <c r="E72" s="25" t="s">
        <v>8</v>
      </c>
      <c r="F72" s="27" t="s">
        <v>321</v>
      </c>
      <c r="G72" s="31">
        <v>0.15</v>
      </c>
      <c r="H72" s="31">
        <f t="shared" si="10"/>
        <v>0.15</v>
      </c>
    </row>
    <row r="73" spans="2:8" ht="24">
      <c r="B73" s="25" t="s">
        <v>248</v>
      </c>
      <c r="C73" s="25" t="s">
        <v>322</v>
      </c>
      <c r="D73" s="26" t="s">
        <v>323</v>
      </c>
      <c r="E73" s="25" t="s">
        <v>8</v>
      </c>
      <c r="F73" s="27" t="s">
        <v>324</v>
      </c>
      <c r="G73" s="31">
        <v>17.12</v>
      </c>
      <c r="H73" s="31">
        <f t="shared" si="10"/>
        <v>46.9</v>
      </c>
    </row>
    <row r="74" spans="2:8" ht="24">
      <c r="B74" s="25" t="s">
        <v>248</v>
      </c>
      <c r="C74" s="25" t="s">
        <v>325</v>
      </c>
      <c r="D74" s="26" t="s">
        <v>326</v>
      </c>
      <c r="E74" s="25" t="s">
        <v>7</v>
      </c>
      <c r="F74" s="27" t="s">
        <v>327</v>
      </c>
      <c r="G74" s="31">
        <v>2.86</v>
      </c>
      <c r="H74" s="31">
        <f t="shared" si="10"/>
        <v>8.56</v>
      </c>
    </row>
    <row r="75" spans="2:8" ht="24">
      <c r="B75" s="25" t="s">
        <v>248</v>
      </c>
      <c r="C75" s="25" t="s">
        <v>328</v>
      </c>
      <c r="D75" s="26" t="s">
        <v>329</v>
      </c>
      <c r="E75" s="25" t="s">
        <v>7</v>
      </c>
      <c r="F75" s="27" t="s">
        <v>321</v>
      </c>
      <c r="G75" s="31">
        <v>2.91</v>
      </c>
      <c r="H75" s="31">
        <f t="shared" si="10"/>
        <v>2.94</v>
      </c>
    </row>
    <row r="76" spans="2:8">
      <c r="B76" s="25" t="s">
        <v>248</v>
      </c>
      <c r="C76" s="25" t="s">
        <v>330</v>
      </c>
      <c r="D76" s="26" t="s">
        <v>331</v>
      </c>
      <c r="E76" s="25" t="s">
        <v>332</v>
      </c>
      <c r="F76" s="27" t="s">
        <v>333</v>
      </c>
      <c r="G76" s="31">
        <v>17.920000000000002</v>
      </c>
      <c r="H76" s="31">
        <f t="shared" si="10"/>
        <v>0.18</v>
      </c>
    </row>
    <row r="77" spans="2:8">
      <c r="B77" s="25" t="s">
        <v>258</v>
      </c>
      <c r="C77" s="25" t="s">
        <v>334</v>
      </c>
      <c r="D77" s="26" t="s">
        <v>335</v>
      </c>
      <c r="E77" s="25" t="s">
        <v>261</v>
      </c>
      <c r="F77" s="27" t="s">
        <v>336</v>
      </c>
      <c r="G77" s="31">
        <v>20.51</v>
      </c>
      <c r="H77" s="31">
        <f t="shared" si="10"/>
        <v>11.09</v>
      </c>
    </row>
    <row r="78" spans="2:8">
      <c r="G78" s="33" t="s">
        <v>4</v>
      </c>
      <c r="H78" s="34">
        <f>SUM(H70:H77)</f>
        <v>71.41</v>
      </c>
    </row>
    <row r="80" spans="2:8" ht="36">
      <c r="B80" s="37"/>
      <c r="C80" s="37" t="s">
        <v>267</v>
      </c>
      <c r="D80" s="38" t="s">
        <v>380</v>
      </c>
      <c r="E80" s="37" t="s">
        <v>8</v>
      </c>
      <c r="F80" s="39" t="s">
        <v>5</v>
      </c>
      <c r="G80" s="39" t="s">
        <v>371</v>
      </c>
      <c r="H80" s="40"/>
    </row>
    <row r="81" spans="2:8">
      <c r="B81" s="25" t="s">
        <v>248</v>
      </c>
      <c r="C81" s="25" t="s">
        <v>372</v>
      </c>
      <c r="D81" s="26" t="s">
        <v>379</v>
      </c>
      <c r="E81" s="25" t="s">
        <v>8</v>
      </c>
      <c r="F81" s="27" t="s">
        <v>251</v>
      </c>
      <c r="G81" s="27">
        <f>(207.01+249.9+249.9)/3</f>
        <v>235.60333333333332</v>
      </c>
      <c r="H81" s="31">
        <f t="shared" ref="H81:H83" si="11">ROUND(F81*G81,2)</f>
        <v>235.6</v>
      </c>
    </row>
    <row r="82" spans="2:8">
      <c r="B82" s="25" t="s">
        <v>258</v>
      </c>
      <c r="C82" s="25" t="s">
        <v>373</v>
      </c>
      <c r="D82" s="26" t="s">
        <v>374</v>
      </c>
      <c r="E82" s="25" t="s">
        <v>261</v>
      </c>
      <c r="F82" s="27" t="s">
        <v>375</v>
      </c>
      <c r="G82" s="27">
        <v>17.5</v>
      </c>
      <c r="H82" s="31">
        <f t="shared" si="11"/>
        <v>3.44</v>
      </c>
    </row>
    <row r="83" spans="2:8">
      <c r="B83" s="25" t="s">
        <v>258</v>
      </c>
      <c r="C83" s="25" t="s">
        <v>376</v>
      </c>
      <c r="D83" s="26" t="s">
        <v>377</v>
      </c>
      <c r="E83" s="25" t="s">
        <v>261</v>
      </c>
      <c r="F83" s="27" t="s">
        <v>378</v>
      </c>
      <c r="G83" s="27">
        <v>22.57</v>
      </c>
      <c r="H83" s="31">
        <f t="shared" si="11"/>
        <v>10.63</v>
      </c>
    </row>
    <row r="84" spans="2:8">
      <c r="G84" s="33" t="s">
        <v>4</v>
      </c>
      <c r="H84" s="34">
        <f>SUM(H81:H83)</f>
        <v>249.67</v>
      </c>
    </row>
    <row r="87" spans="2:8">
      <c r="B87" s="37"/>
      <c r="C87" s="37" t="s">
        <v>267</v>
      </c>
      <c r="D87" s="38" t="s">
        <v>383</v>
      </c>
      <c r="E87" s="37" t="s">
        <v>8</v>
      </c>
      <c r="F87" s="39" t="s">
        <v>5</v>
      </c>
      <c r="G87" s="39"/>
      <c r="H87" s="40"/>
    </row>
    <row r="88" spans="2:8" ht="24">
      <c r="B88" s="25" t="s">
        <v>248</v>
      </c>
      <c r="C88" s="25">
        <v>37558</v>
      </c>
      <c r="D88" s="26" t="s">
        <v>384</v>
      </c>
      <c r="E88" s="25" t="s">
        <v>8</v>
      </c>
      <c r="F88" s="27" t="s">
        <v>251</v>
      </c>
      <c r="G88" s="27">
        <v>22.37</v>
      </c>
      <c r="H88" s="31">
        <f t="shared" ref="H88:H89" si="12">ROUND(F88*G88,2)</f>
        <v>22.37</v>
      </c>
    </row>
    <row r="89" spans="2:8">
      <c r="B89" s="25" t="s">
        <v>258</v>
      </c>
      <c r="C89" s="25">
        <v>88316</v>
      </c>
      <c r="D89" s="26" t="s">
        <v>264</v>
      </c>
      <c r="E89" s="25" t="s">
        <v>261</v>
      </c>
      <c r="F89" s="27" t="s">
        <v>375</v>
      </c>
      <c r="G89" s="27">
        <v>17.36</v>
      </c>
      <c r="H89" s="31">
        <f t="shared" si="12"/>
        <v>3.41</v>
      </c>
    </row>
    <row r="90" spans="2:8">
      <c r="G90" s="33" t="s">
        <v>4</v>
      </c>
      <c r="H90" s="34">
        <f>SUM(H87:H89)</f>
        <v>25.78</v>
      </c>
    </row>
    <row r="93" spans="2:8">
      <c r="B93" s="37"/>
      <c r="C93" s="37" t="s">
        <v>267</v>
      </c>
      <c r="D93" s="38" t="s">
        <v>387</v>
      </c>
      <c r="E93" s="37" t="s">
        <v>8</v>
      </c>
      <c r="F93" s="39" t="s">
        <v>5</v>
      </c>
      <c r="G93" s="39"/>
      <c r="H93" s="40"/>
    </row>
    <row r="94" spans="2:8" ht="24">
      <c r="B94" s="25" t="s">
        <v>267</v>
      </c>
      <c r="C94" s="25">
        <v>84665</v>
      </c>
      <c r="D94" s="26" t="s">
        <v>386</v>
      </c>
      <c r="E94" s="25" t="s">
        <v>6</v>
      </c>
      <c r="F94" s="27">
        <f>(1*1*1)*0.2</f>
        <v>0.2</v>
      </c>
      <c r="G94" s="27">
        <v>21.76</v>
      </c>
      <c r="H94" s="31">
        <f>F94*G94</f>
        <v>4.3520000000000003</v>
      </c>
    </row>
    <row r="95" spans="2:8" ht="24">
      <c r="B95" s="25" t="s">
        <v>267</v>
      </c>
      <c r="C95" s="25"/>
      <c r="D95" s="26" t="s">
        <v>386</v>
      </c>
      <c r="E95" s="25" t="s">
        <v>6</v>
      </c>
      <c r="F95" s="27">
        <f>0.8*0.8</f>
        <v>0.64000000000000012</v>
      </c>
      <c r="G95" s="27">
        <v>21.76</v>
      </c>
      <c r="H95" s="31">
        <f>F95*G95</f>
        <v>13.926400000000005</v>
      </c>
    </row>
    <row r="96" spans="2:8">
      <c r="G96" s="33" t="s">
        <v>4</v>
      </c>
      <c r="H96" s="34">
        <f>SUM(H94:H95)</f>
        <v>18.278400000000005</v>
      </c>
    </row>
    <row r="98" spans="2:8" ht="25.5" customHeight="1">
      <c r="B98" s="37"/>
      <c r="C98" s="37" t="s">
        <v>267</v>
      </c>
      <c r="D98" s="38" t="s">
        <v>396</v>
      </c>
      <c r="E98" s="37" t="s">
        <v>6</v>
      </c>
      <c r="F98" s="39" t="s">
        <v>5</v>
      </c>
      <c r="G98" s="39" t="s">
        <v>390</v>
      </c>
      <c r="H98" s="40"/>
    </row>
    <row r="99" spans="2:8">
      <c r="B99" s="25" t="s">
        <v>248</v>
      </c>
      <c r="C99" s="25" t="s">
        <v>391</v>
      </c>
      <c r="D99" s="26" t="s">
        <v>392</v>
      </c>
      <c r="E99" s="25" t="s">
        <v>20</v>
      </c>
      <c r="F99" s="27" t="s">
        <v>393</v>
      </c>
      <c r="G99" s="27">
        <v>21.7</v>
      </c>
      <c r="H99" s="31">
        <f>F99*G99</f>
        <v>8.0289999999999999</v>
      </c>
    </row>
    <row r="100" spans="2:8" ht="24">
      <c r="B100" s="25" t="s">
        <v>248</v>
      </c>
      <c r="C100" s="25" t="s">
        <v>395</v>
      </c>
      <c r="D100" s="26" t="s">
        <v>399</v>
      </c>
      <c r="E100" s="25" t="s">
        <v>7</v>
      </c>
      <c r="F100" s="27" t="s">
        <v>251</v>
      </c>
      <c r="G100" s="27">
        <f>(104+100+102)/3</f>
        <v>102</v>
      </c>
      <c r="H100" s="31">
        <f t="shared" ref="H100:H102" si="13">F100*G100</f>
        <v>102</v>
      </c>
    </row>
    <row r="101" spans="2:8">
      <c r="B101" s="25" t="s">
        <v>258</v>
      </c>
      <c r="C101" s="25" t="s">
        <v>259</v>
      </c>
      <c r="D101" s="26" t="s">
        <v>260</v>
      </c>
      <c r="E101" s="25" t="s">
        <v>261</v>
      </c>
      <c r="F101" s="27" t="s">
        <v>394</v>
      </c>
      <c r="G101" s="27">
        <v>22.37</v>
      </c>
      <c r="H101" s="31">
        <f t="shared" si="13"/>
        <v>3.8029000000000006</v>
      </c>
    </row>
    <row r="102" spans="2:8">
      <c r="B102" s="25" t="s">
        <v>258</v>
      </c>
      <c r="C102" s="25" t="s">
        <v>263</v>
      </c>
      <c r="D102" s="26" t="s">
        <v>264</v>
      </c>
      <c r="E102" s="25" t="s">
        <v>261</v>
      </c>
      <c r="F102" s="27" t="s">
        <v>394</v>
      </c>
      <c r="G102" s="27">
        <v>17.36</v>
      </c>
      <c r="H102" s="31">
        <f t="shared" si="13"/>
        <v>2.9512</v>
      </c>
    </row>
    <row r="103" spans="2:8">
      <c r="G103" s="33" t="s">
        <v>4</v>
      </c>
      <c r="H103" s="34">
        <f>SUM(H99:H102)</f>
        <v>116.78309999999999</v>
      </c>
    </row>
    <row r="106" spans="2:8" ht="36">
      <c r="B106" s="37"/>
      <c r="C106" s="37" t="s">
        <v>267</v>
      </c>
      <c r="D106" s="38" t="s">
        <v>397</v>
      </c>
      <c r="E106" s="37" t="s">
        <v>6</v>
      </c>
      <c r="F106" s="39" t="s">
        <v>5</v>
      </c>
      <c r="G106" s="39" t="s">
        <v>390</v>
      </c>
      <c r="H106" s="40"/>
    </row>
    <row r="107" spans="2:8">
      <c r="B107" s="25" t="s">
        <v>248</v>
      </c>
      <c r="C107" s="25" t="s">
        <v>391</v>
      </c>
      <c r="D107" s="26" t="s">
        <v>392</v>
      </c>
      <c r="E107" s="25" t="s">
        <v>20</v>
      </c>
      <c r="F107" s="27" t="s">
        <v>393</v>
      </c>
      <c r="G107" s="27">
        <v>21.7</v>
      </c>
      <c r="H107" s="31">
        <f>F107*G107</f>
        <v>8.0289999999999999</v>
      </c>
    </row>
    <row r="108" spans="2:8" ht="24">
      <c r="B108" s="25" t="s">
        <v>248</v>
      </c>
      <c r="C108" s="25" t="s">
        <v>395</v>
      </c>
      <c r="D108" s="26" t="s">
        <v>398</v>
      </c>
      <c r="E108" s="25" t="s">
        <v>6</v>
      </c>
      <c r="F108" s="27">
        <v>4</v>
      </c>
      <c r="G108" s="27">
        <f>(104+100+102)/3</f>
        <v>102</v>
      </c>
      <c r="H108" s="31">
        <f t="shared" ref="H108:H110" si="14">F108*G108</f>
        <v>408</v>
      </c>
    </row>
    <row r="109" spans="2:8">
      <c r="B109" s="25" t="s">
        <v>258</v>
      </c>
      <c r="C109" s="25" t="s">
        <v>259</v>
      </c>
      <c r="D109" s="26" t="s">
        <v>260</v>
      </c>
      <c r="E109" s="25" t="s">
        <v>261</v>
      </c>
      <c r="F109" s="27" t="s">
        <v>394</v>
      </c>
      <c r="G109" s="27">
        <v>22.37</v>
      </c>
      <c r="H109" s="31">
        <f t="shared" si="14"/>
        <v>3.8029000000000006</v>
      </c>
    </row>
    <row r="110" spans="2:8">
      <c r="B110" s="25" t="s">
        <v>258</v>
      </c>
      <c r="C110" s="25" t="s">
        <v>263</v>
      </c>
      <c r="D110" s="26" t="s">
        <v>264</v>
      </c>
      <c r="E110" s="25" t="s">
        <v>261</v>
      </c>
      <c r="F110" s="27" t="s">
        <v>394</v>
      </c>
      <c r="G110" s="27">
        <v>17.36</v>
      </c>
      <c r="H110" s="31">
        <f t="shared" si="14"/>
        <v>2.9512</v>
      </c>
    </row>
    <row r="111" spans="2:8">
      <c r="G111" s="33" t="s">
        <v>4</v>
      </c>
      <c r="H111" s="34">
        <f>SUM(H107:H110)</f>
        <v>422.78309999999999</v>
      </c>
    </row>
    <row r="113" spans="2:8" ht="24">
      <c r="B113" s="37" t="s">
        <v>418</v>
      </c>
      <c r="C113" s="37" t="s">
        <v>267</v>
      </c>
      <c r="D113" s="38" t="s">
        <v>180</v>
      </c>
      <c r="E113" s="37" t="s">
        <v>8</v>
      </c>
      <c r="F113" s="39" t="s">
        <v>5</v>
      </c>
      <c r="G113" s="39" t="s">
        <v>419</v>
      </c>
      <c r="H113" s="48"/>
    </row>
    <row r="114" spans="2:8">
      <c r="B114" s="25" t="s">
        <v>248</v>
      </c>
      <c r="C114" s="25" t="s">
        <v>420</v>
      </c>
      <c r="D114" s="26" t="s">
        <v>421</v>
      </c>
      <c r="E114" s="25" t="s">
        <v>20</v>
      </c>
      <c r="F114" s="27">
        <f>0.3844/0.377</f>
        <v>1.0196286472148541</v>
      </c>
      <c r="G114" s="27">
        <v>24.26</v>
      </c>
      <c r="H114" s="31">
        <f>ROUND(F114*G114,2)</f>
        <v>24.74</v>
      </c>
    </row>
    <row r="115" spans="2:8" ht="24">
      <c r="B115" s="25" t="s">
        <v>248</v>
      </c>
      <c r="C115" s="25" t="s">
        <v>422</v>
      </c>
      <c r="D115" s="26" t="s">
        <v>423</v>
      </c>
      <c r="E115" s="25" t="s">
        <v>8</v>
      </c>
      <c r="F115" s="27">
        <v>16</v>
      </c>
      <c r="G115" s="27">
        <v>0.61</v>
      </c>
      <c r="H115" s="31">
        <f t="shared" ref="H115:H120" si="15">ROUND(F115*G115,2)</f>
        <v>9.76</v>
      </c>
    </row>
    <row r="116" spans="2:8" ht="24">
      <c r="B116" s="25" t="s">
        <v>248</v>
      </c>
      <c r="C116" s="25" t="s">
        <v>424</v>
      </c>
      <c r="D116" s="26" t="s">
        <v>425</v>
      </c>
      <c r="E116" s="25" t="s">
        <v>6</v>
      </c>
      <c r="F116" s="27">
        <f>0.377/0.377</f>
        <v>1</v>
      </c>
      <c r="G116" s="27">
        <v>316.98</v>
      </c>
      <c r="H116" s="31">
        <f t="shared" si="15"/>
        <v>316.98</v>
      </c>
    </row>
    <row r="117" spans="2:8">
      <c r="B117" s="25" t="s">
        <v>248</v>
      </c>
      <c r="C117" s="25" t="s">
        <v>426</v>
      </c>
      <c r="D117" s="26" t="s">
        <v>427</v>
      </c>
      <c r="E117" s="25" t="s">
        <v>20</v>
      </c>
      <c r="F117" s="27">
        <f>0.0257/0.377</f>
        <v>6.8169761273209548E-2</v>
      </c>
      <c r="G117" s="27">
        <v>41.64</v>
      </c>
      <c r="H117" s="31">
        <f t="shared" si="15"/>
        <v>2.84</v>
      </c>
    </row>
    <row r="118" spans="2:8">
      <c r="B118" s="25" t="s">
        <v>248</v>
      </c>
      <c r="C118" s="25" t="s">
        <v>428</v>
      </c>
      <c r="D118" s="26" t="s">
        <v>429</v>
      </c>
      <c r="E118" s="25" t="s">
        <v>8</v>
      </c>
      <c r="F118" s="27">
        <v>6</v>
      </c>
      <c r="G118" s="27">
        <v>11.55</v>
      </c>
      <c r="H118" s="31">
        <f t="shared" si="15"/>
        <v>69.3</v>
      </c>
    </row>
    <row r="119" spans="2:8">
      <c r="B119" s="25" t="s">
        <v>258</v>
      </c>
      <c r="C119" s="25" t="s">
        <v>430</v>
      </c>
      <c r="D119" s="26" t="s">
        <v>431</v>
      </c>
      <c r="E119" s="25" t="s">
        <v>261</v>
      </c>
      <c r="F119" s="27">
        <f>1.92/0.377</f>
        <v>5.0928381962864719</v>
      </c>
      <c r="G119" s="27">
        <v>25.83</v>
      </c>
      <c r="H119" s="31">
        <f t="shared" si="15"/>
        <v>131.55000000000001</v>
      </c>
    </row>
    <row r="120" spans="2:8">
      <c r="B120" s="25" t="s">
        <v>258</v>
      </c>
      <c r="C120" s="25" t="s">
        <v>263</v>
      </c>
      <c r="D120" s="26" t="s">
        <v>264</v>
      </c>
      <c r="E120" s="25" t="s">
        <v>261</v>
      </c>
      <c r="F120" s="27">
        <f>0.98/0.377</f>
        <v>2.5994694960212201</v>
      </c>
      <c r="G120" s="27">
        <v>17.36</v>
      </c>
      <c r="H120" s="31">
        <f t="shared" si="15"/>
        <v>45.13</v>
      </c>
    </row>
    <row r="121" spans="2:8">
      <c r="G121" s="33" t="s">
        <v>4</v>
      </c>
      <c r="H121" s="34">
        <f>SUM(H114:H120)</f>
        <v>600.30000000000007</v>
      </c>
    </row>
    <row r="123" spans="2:8">
      <c r="F123">
        <v>0.377</v>
      </c>
      <c r="G123">
        <v>0.38440000000000002</v>
      </c>
    </row>
    <row r="124" spans="2:8">
      <c r="F124">
        <v>1</v>
      </c>
      <c r="G124">
        <f>G123*F124/F123</f>
        <v>1.0196286472148541</v>
      </c>
    </row>
    <row r="125" spans="2:8">
      <c r="B125" s="37"/>
      <c r="C125" s="37" t="s">
        <v>267</v>
      </c>
      <c r="D125" s="38" t="s">
        <v>433</v>
      </c>
      <c r="E125" s="37"/>
      <c r="F125" s="39"/>
      <c r="G125" s="39"/>
      <c r="H125" s="48"/>
    </row>
    <row r="126" spans="2:8" ht="24">
      <c r="B126" s="25" t="s">
        <v>258</v>
      </c>
      <c r="C126" s="25" t="s">
        <v>438</v>
      </c>
      <c r="D126" s="26" t="s">
        <v>439</v>
      </c>
      <c r="E126" s="25" t="s">
        <v>8</v>
      </c>
      <c r="F126" s="27">
        <v>1.5</v>
      </c>
      <c r="G126" s="27">
        <v>302.58</v>
      </c>
      <c r="H126" s="31">
        <f t="shared" ref="H126:H134" si="16">ROUND(F126*G126,2)</f>
        <v>453.87</v>
      </c>
    </row>
    <row r="127" spans="2:8" ht="24">
      <c r="B127" s="25" t="s">
        <v>248</v>
      </c>
      <c r="C127" s="25" t="s">
        <v>442</v>
      </c>
      <c r="D127" s="26" t="s">
        <v>443</v>
      </c>
      <c r="E127" s="25" t="s">
        <v>8</v>
      </c>
      <c r="F127" s="27">
        <v>6</v>
      </c>
      <c r="G127" s="27">
        <v>24.44</v>
      </c>
      <c r="H127" s="31">
        <f t="shared" si="16"/>
        <v>146.63999999999999</v>
      </c>
    </row>
    <row r="128" spans="2:8" ht="24">
      <c r="B128" s="25" t="s">
        <v>248</v>
      </c>
      <c r="C128" s="25">
        <v>4998</v>
      </c>
      <c r="D128" s="26" t="s">
        <v>448</v>
      </c>
      <c r="E128" s="25" t="s">
        <v>6</v>
      </c>
      <c r="F128" s="27">
        <f>1*2.1*2</f>
        <v>4.2</v>
      </c>
      <c r="G128" s="27">
        <v>361.67</v>
      </c>
      <c r="H128" s="31">
        <f t="shared" si="16"/>
        <v>1519.01</v>
      </c>
    </row>
    <row r="129" spans="2:8" ht="18.75" customHeight="1">
      <c r="B129" s="25" t="s">
        <v>248</v>
      </c>
      <c r="C129" s="25" t="s">
        <v>444</v>
      </c>
      <c r="D129" s="26" t="s">
        <v>445</v>
      </c>
      <c r="E129" s="25" t="s">
        <v>8</v>
      </c>
      <c r="F129" s="27">
        <f>19.8*2</f>
        <v>39.6</v>
      </c>
      <c r="G129" s="27">
        <v>0.03</v>
      </c>
      <c r="H129" s="31">
        <f t="shared" si="16"/>
        <v>1.19</v>
      </c>
    </row>
    <row r="130" spans="2:8" ht="18.75" customHeight="1">
      <c r="B130" s="25" t="s">
        <v>258</v>
      </c>
      <c r="C130" s="25" t="s">
        <v>446</v>
      </c>
      <c r="D130" s="26" t="s">
        <v>447</v>
      </c>
      <c r="E130" s="25" t="s">
        <v>261</v>
      </c>
      <c r="F130" s="27">
        <f>1.678*2</f>
        <v>3.3559999999999999</v>
      </c>
      <c r="G130" s="27">
        <v>19.489999999999998</v>
      </c>
      <c r="H130" s="31">
        <f t="shared" si="16"/>
        <v>65.41</v>
      </c>
    </row>
    <row r="131" spans="2:8" ht="18.75" customHeight="1">
      <c r="B131" s="25" t="s">
        <v>258</v>
      </c>
      <c r="C131" s="25" t="s">
        <v>263</v>
      </c>
      <c r="D131" s="26" t="s">
        <v>264</v>
      </c>
      <c r="E131" s="25" t="s">
        <v>261</v>
      </c>
      <c r="F131" s="27">
        <f>0.839*2</f>
        <v>1.6779999999999999</v>
      </c>
      <c r="G131" s="27">
        <v>17.36</v>
      </c>
      <c r="H131" s="31">
        <f t="shared" si="16"/>
        <v>29.13</v>
      </c>
    </row>
    <row r="132" spans="2:8" ht="24">
      <c r="B132" s="25" t="s">
        <v>258</v>
      </c>
      <c r="C132" s="25" t="s">
        <v>440</v>
      </c>
      <c r="D132" s="26" t="s">
        <v>441</v>
      </c>
      <c r="E132" s="25" t="s">
        <v>7</v>
      </c>
      <c r="F132" s="27">
        <f>10.2*2</f>
        <v>20.399999999999999</v>
      </c>
      <c r="G132" s="27">
        <v>7.42</v>
      </c>
      <c r="H132" s="31">
        <f t="shared" si="16"/>
        <v>151.37</v>
      </c>
    </row>
    <row r="133" spans="2:8">
      <c r="B133" s="25" t="s">
        <v>248</v>
      </c>
      <c r="C133" s="25">
        <v>39621</v>
      </c>
      <c r="D133" s="26" t="s">
        <v>436</v>
      </c>
      <c r="E133" s="25" t="s">
        <v>435</v>
      </c>
      <c r="F133" s="27">
        <v>1</v>
      </c>
      <c r="G133" s="27">
        <v>1301.98</v>
      </c>
      <c r="H133" s="31">
        <f t="shared" si="16"/>
        <v>1301.98</v>
      </c>
    </row>
    <row r="134" spans="2:8" ht="24">
      <c r="B134" s="25" t="s">
        <v>248</v>
      </c>
      <c r="C134" s="25">
        <v>38168</v>
      </c>
      <c r="D134" s="26" t="s">
        <v>437</v>
      </c>
      <c r="E134" s="25" t="s">
        <v>435</v>
      </c>
      <c r="F134" s="27">
        <v>2</v>
      </c>
      <c r="G134" s="27">
        <v>121.88</v>
      </c>
      <c r="H134" s="31">
        <f t="shared" si="16"/>
        <v>243.76</v>
      </c>
    </row>
    <row r="135" spans="2:8">
      <c r="G135" s="33" t="s">
        <v>4</v>
      </c>
      <c r="H135" s="34">
        <f>SUM(H126:H134)</f>
        <v>3912.3599999999997</v>
      </c>
    </row>
    <row r="137" spans="2:8">
      <c r="B137" s="37"/>
      <c r="C137" s="37" t="s">
        <v>267</v>
      </c>
      <c r="D137" s="38" t="s">
        <v>451</v>
      </c>
      <c r="E137" s="37"/>
      <c r="F137" s="39"/>
      <c r="G137" s="39"/>
      <c r="H137" s="48"/>
    </row>
    <row r="138" spans="2:8" ht="36">
      <c r="B138" s="25" t="s">
        <v>267</v>
      </c>
      <c r="C138" s="25">
        <v>91016</v>
      </c>
      <c r="D138" s="26" t="s">
        <v>434</v>
      </c>
      <c r="E138" s="25" t="s">
        <v>435</v>
      </c>
      <c r="F138" s="27">
        <v>2</v>
      </c>
      <c r="G138" s="27">
        <v>689.76</v>
      </c>
      <c r="H138" s="31">
        <f t="shared" ref="H138" si="17">ROUND(F138*G138,2)</f>
        <v>1379.52</v>
      </c>
    </row>
    <row r="139" spans="2:8">
      <c r="B139" s="25" t="s">
        <v>248</v>
      </c>
      <c r="C139" s="25">
        <v>39621</v>
      </c>
      <c r="D139" s="26" t="s">
        <v>436</v>
      </c>
      <c r="E139" s="25" t="s">
        <v>435</v>
      </c>
      <c r="F139" s="27">
        <v>1</v>
      </c>
      <c r="G139" s="27">
        <v>1301.98</v>
      </c>
      <c r="H139" s="31">
        <f>ROUND(F139*G139,2)</f>
        <v>1301.98</v>
      </c>
    </row>
    <row r="140" spans="2:8" ht="24">
      <c r="B140" s="25" t="s">
        <v>248</v>
      </c>
      <c r="C140" s="25">
        <v>38168</v>
      </c>
      <c r="D140" s="26" t="s">
        <v>437</v>
      </c>
      <c r="E140" s="25" t="s">
        <v>435</v>
      </c>
      <c r="F140" s="27">
        <v>2</v>
      </c>
      <c r="G140" s="27">
        <v>121.88</v>
      </c>
      <c r="H140" s="31">
        <f>ROUND(F140*G140,2)</f>
        <v>243.76</v>
      </c>
    </row>
    <row r="141" spans="2:8">
      <c r="G141" s="33" t="s">
        <v>4</v>
      </c>
      <c r="H141" s="34">
        <f>SUM(H138:H140)</f>
        <v>2925.26</v>
      </c>
    </row>
    <row r="143" spans="2:8">
      <c r="B143" s="37"/>
      <c r="C143" s="37" t="s">
        <v>267</v>
      </c>
      <c r="D143" s="38" t="s">
        <v>452</v>
      </c>
      <c r="E143" s="37"/>
      <c r="F143" s="39"/>
      <c r="G143" s="39"/>
      <c r="H143" s="48"/>
    </row>
    <row r="144" spans="2:8" ht="36">
      <c r="B144" s="25" t="s">
        <v>267</v>
      </c>
      <c r="C144" s="25">
        <v>91016</v>
      </c>
      <c r="D144" s="26" t="s">
        <v>434</v>
      </c>
      <c r="E144" s="25" t="s">
        <v>435</v>
      </c>
      <c r="F144" s="27">
        <v>2</v>
      </c>
      <c r="G144" s="27">
        <v>689.76</v>
      </c>
      <c r="H144" s="31">
        <f t="shared" ref="H144" si="18">ROUND(F144*G144,2)</f>
        <v>1379.52</v>
      </c>
    </row>
    <row r="145" spans="2:8" ht="24">
      <c r="B145" s="25" t="s">
        <v>248</v>
      </c>
      <c r="C145" s="25">
        <v>38168</v>
      </c>
      <c r="D145" s="26" t="s">
        <v>437</v>
      </c>
      <c r="E145" s="25" t="s">
        <v>435</v>
      </c>
      <c r="F145" s="27">
        <v>2</v>
      </c>
      <c r="G145" s="27">
        <v>121.88</v>
      </c>
      <c r="H145" s="31">
        <f>ROUND(F145*G145,2)</f>
        <v>243.76</v>
      </c>
    </row>
    <row r="146" spans="2:8">
      <c r="G146" s="33" t="s">
        <v>4</v>
      </c>
      <c r="H146" s="34">
        <f>SUM(H144:H145)</f>
        <v>1623.28</v>
      </c>
    </row>
    <row r="149" spans="2:8" ht="36">
      <c r="B149" s="37" t="s">
        <v>459</v>
      </c>
      <c r="C149" s="37" t="s">
        <v>267</v>
      </c>
      <c r="D149" s="38" t="s">
        <v>493</v>
      </c>
      <c r="E149" s="37" t="s">
        <v>8</v>
      </c>
      <c r="F149" s="39" t="s">
        <v>5</v>
      </c>
      <c r="G149" s="39" t="s">
        <v>390</v>
      </c>
      <c r="H149" s="48"/>
    </row>
    <row r="150" spans="2:8" ht="14.25" customHeight="1">
      <c r="B150" s="25" t="s">
        <v>248</v>
      </c>
      <c r="C150" s="25" t="s">
        <v>460</v>
      </c>
      <c r="D150" s="26" t="s">
        <v>461</v>
      </c>
      <c r="E150" s="25" t="s">
        <v>8</v>
      </c>
      <c r="F150" s="27" t="s">
        <v>251</v>
      </c>
      <c r="G150" s="27">
        <v>7.37</v>
      </c>
      <c r="H150" s="31">
        <f t="shared" ref="H150:H163" si="19">ROUND(F150*G150,2)</f>
        <v>7.37</v>
      </c>
    </row>
    <row r="151" spans="2:8" ht="14.25" customHeight="1">
      <c r="B151" s="25" t="s">
        <v>248</v>
      </c>
      <c r="C151" s="25" t="s">
        <v>462</v>
      </c>
      <c r="D151" s="26" t="s">
        <v>463</v>
      </c>
      <c r="E151" s="25" t="s">
        <v>8</v>
      </c>
      <c r="F151" s="27" t="s">
        <v>464</v>
      </c>
      <c r="G151" s="27">
        <v>12.64</v>
      </c>
      <c r="H151" s="31">
        <f t="shared" si="19"/>
        <v>25.28</v>
      </c>
    </row>
    <row r="152" spans="2:8" ht="14.25" customHeight="1">
      <c r="B152" s="25" t="s">
        <v>248</v>
      </c>
      <c r="C152" s="25" t="s">
        <v>465</v>
      </c>
      <c r="D152" s="26" t="s">
        <v>466</v>
      </c>
      <c r="E152" s="25" t="s">
        <v>8</v>
      </c>
      <c r="F152" s="27" t="s">
        <v>251</v>
      </c>
      <c r="G152" s="27">
        <v>11.61</v>
      </c>
      <c r="H152" s="31">
        <f t="shared" si="19"/>
        <v>11.61</v>
      </c>
    </row>
    <row r="153" spans="2:8" ht="14.25" customHeight="1">
      <c r="B153" s="25" t="s">
        <v>248</v>
      </c>
      <c r="C153" s="25" t="s">
        <v>467</v>
      </c>
      <c r="D153" s="26" t="s">
        <v>468</v>
      </c>
      <c r="E153" s="25" t="s">
        <v>8</v>
      </c>
      <c r="F153" s="27" t="s">
        <v>469</v>
      </c>
      <c r="G153" s="27">
        <v>6.55</v>
      </c>
      <c r="H153" s="31">
        <f t="shared" si="19"/>
        <v>2.62</v>
      </c>
    </row>
    <row r="154" spans="2:8" ht="14.25" customHeight="1">
      <c r="B154" s="25" t="s">
        <v>248</v>
      </c>
      <c r="C154" s="25" t="s">
        <v>470</v>
      </c>
      <c r="D154" s="26" t="s">
        <v>471</v>
      </c>
      <c r="E154" s="25" t="s">
        <v>8</v>
      </c>
      <c r="F154" s="27" t="s">
        <v>472</v>
      </c>
      <c r="G154" s="27">
        <v>3.5</v>
      </c>
      <c r="H154" s="31">
        <f t="shared" si="19"/>
        <v>1.05</v>
      </c>
    </row>
    <row r="155" spans="2:8" ht="14.25" customHeight="1">
      <c r="B155" s="25" t="s">
        <v>248</v>
      </c>
      <c r="C155" s="25" t="s">
        <v>473</v>
      </c>
      <c r="D155" s="26" t="s">
        <v>474</v>
      </c>
      <c r="E155" s="25" t="s">
        <v>8</v>
      </c>
      <c r="F155" s="27" t="s">
        <v>251</v>
      </c>
      <c r="G155" s="27">
        <v>1.44</v>
      </c>
      <c r="H155" s="31">
        <f t="shared" si="19"/>
        <v>1.44</v>
      </c>
    </row>
    <row r="156" spans="2:8" ht="14.25" customHeight="1">
      <c r="B156" s="25" t="s">
        <v>248</v>
      </c>
      <c r="C156" s="25" t="s">
        <v>475</v>
      </c>
      <c r="D156" s="26" t="s">
        <v>476</v>
      </c>
      <c r="E156" s="25" t="s">
        <v>8</v>
      </c>
      <c r="F156" s="27" t="s">
        <v>251</v>
      </c>
      <c r="G156" s="27">
        <v>2.72</v>
      </c>
      <c r="H156" s="31">
        <f t="shared" si="19"/>
        <v>2.72</v>
      </c>
    </row>
    <row r="157" spans="2:8" ht="14.25" customHeight="1">
      <c r="B157" s="25" t="s">
        <v>248</v>
      </c>
      <c r="C157" s="25" t="s">
        <v>477</v>
      </c>
      <c r="D157" s="26" t="s">
        <v>478</v>
      </c>
      <c r="E157" s="25" t="s">
        <v>7</v>
      </c>
      <c r="F157" s="27" t="s">
        <v>479</v>
      </c>
      <c r="G157" s="27">
        <v>2.4500000000000002</v>
      </c>
      <c r="H157" s="31">
        <f t="shared" si="19"/>
        <v>3.68</v>
      </c>
    </row>
    <row r="158" spans="2:8" ht="14.25" customHeight="1">
      <c r="B158" s="25" t="s">
        <v>248</v>
      </c>
      <c r="C158" s="25" t="s">
        <v>480</v>
      </c>
      <c r="D158" s="26" t="s">
        <v>481</v>
      </c>
      <c r="E158" s="25" t="s">
        <v>7</v>
      </c>
      <c r="F158" s="27" t="s">
        <v>464</v>
      </c>
      <c r="G158" s="27">
        <v>5.5</v>
      </c>
      <c r="H158" s="31">
        <f t="shared" si="19"/>
        <v>11</v>
      </c>
    </row>
    <row r="159" spans="2:8" ht="14.25" customHeight="1">
      <c r="B159" s="25" t="s">
        <v>248</v>
      </c>
      <c r="C159" s="25" t="s">
        <v>482</v>
      </c>
      <c r="D159" s="26" t="s">
        <v>483</v>
      </c>
      <c r="E159" s="25" t="s">
        <v>8</v>
      </c>
      <c r="F159" s="27" t="s">
        <v>251</v>
      </c>
      <c r="G159" s="27">
        <v>25.38</v>
      </c>
      <c r="H159" s="31">
        <f t="shared" si="19"/>
        <v>25.38</v>
      </c>
    </row>
    <row r="160" spans="2:8" ht="25.5" customHeight="1">
      <c r="B160" s="25" t="s">
        <v>248</v>
      </c>
      <c r="C160" s="25" t="s">
        <v>484</v>
      </c>
      <c r="D160" s="26" t="s">
        <v>485</v>
      </c>
      <c r="E160" s="25" t="s">
        <v>8</v>
      </c>
      <c r="F160" s="27" t="s">
        <v>251</v>
      </c>
      <c r="G160" s="27">
        <v>15.38</v>
      </c>
      <c r="H160" s="31">
        <f t="shared" si="19"/>
        <v>15.38</v>
      </c>
    </row>
    <row r="161" spans="2:8" ht="14.25" customHeight="1">
      <c r="B161" s="25" t="s">
        <v>248</v>
      </c>
      <c r="C161" s="25" t="s">
        <v>486</v>
      </c>
      <c r="D161" s="26" t="s">
        <v>487</v>
      </c>
      <c r="E161" s="25" t="s">
        <v>8</v>
      </c>
      <c r="F161" s="27" t="s">
        <v>251</v>
      </c>
      <c r="G161" s="27">
        <f>QUANTITATIVOS!O7</f>
        <v>3971.1966666666667</v>
      </c>
      <c r="H161" s="31">
        <f t="shared" si="19"/>
        <v>3971.2</v>
      </c>
    </row>
    <row r="162" spans="2:8" ht="14.25" customHeight="1">
      <c r="B162" s="25" t="s">
        <v>258</v>
      </c>
      <c r="C162" s="25" t="s">
        <v>488</v>
      </c>
      <c r="D162" s="26" t="s">
        <v>489</v>
      </c>
      <c r="E162" s="25" t="s">
        <v>261</v>
      </c>
      <c r="F162" s="27" t="s">
        <v>490</v>
      </c>
      <c r="G162" s="27">
        <v>17.03</v>
      </c>
      <c r="H162" s="31">
        <f t="shared" si="19"/>
        <v>131.13</v>
      </c>
    </row>
    <row r="163" spans="2:8" ht="14.25" customHeight="1">
      <c r="B163" s="25" t="s">
        <v>258</v>
      </c>
      <c r="C163" s="25" t="s">
        <v>491</v>
      </c>
      <c r="D163" s="26" t="s">
        <v>492</v>
      </c>
      <c r="E163" s="25" t="s">
        <v>261</v>
      </c>
      <c r="F163" s="27" t="s">
        <v>490</v>
      </c>
      <c r="G163" s="27">
        <v>21.94</v>
      </c>
      <c r="H163" s="31">
        <f t="shared" si="19"/>
        <v>168.94</v>
      </c>
    </row>
    <row r="164" spans="2:8">
      <c r="G164" s="33" t="s">
        <v>4</v>
      </c>
      <c r="H164" s="34">
        <f>SUM(H150:H163)</f>
        <v>4378.7999999999993</v>
      </c>
    </row>
    <row r="167" spans="2:8" ht="36">
      <c r="B167" s="37"/>
      <c r="C167" s="37" t="s">
        <v>267</v>
      </c>
      <c r="D167" s="38" t="s">
        <v>506</v>
      </c>
      <c r="E167" s="37" t="s">
        <v>6</v>
      </c>
      <c r="F167" s="39" t="s">
        <v>5</v>
      </c>
      <c r="G167" s="39" t="s">
        <v>390</v>
      </c>
      <c r="H167" s="48"/>
    </row>
    <row r="168" spans="2:8" ht="17.25" customHeight="1">
      <c r="B168" s="25" t="s">
        <v>248</v>
      </c>
      <c r="C168" s="25" t="s">
        <v>498</v>
      </c>
      <c r="D168" s="26" t="s">
        <v>499</v>
      </c>
      <c r="E168" s="25" t="s">
        <v>20</v>
      </c>
      <c r="F168" s="27" t="s">
        <v>500</v>
      </c>
      <c r="G168" s="27">
        <v>2.57</v>
      </c>
      <c r="H168" s="31">
        <f>ROUND(F168*G168,2)</f>
        <v>1.8</v>
      </c>
    </row>
    <row r="169" spans="2:8" ht="24">
      <c r="B169" s="25" t="s">
        <v>248</v>
      </c>
      <c r="C169" s="25">
        <v>25976</v>
      </c>
      <c r="D169" s="26" t="s">
        <v>506</v>
      </c>
      <c r="E169" s="25" t="s">
        <v>6</v>
      </c>
      <c r="F169" s="27" t="s">
        <v>251</v>
      </c>
      <c r="G169" s="27">
        <v>351.32</v>
      </c>
      <c r="H169" s="31">
        <f t="shared" ref="H169:H172" si="20">ROUND(F169*G169,2)</f>
        <v>351.32</v>
      </c>
    </row>
    <row r="170" spans="2:8" ht="17.25" customHeight="1">
      <c r="B170" s="25" t="s">
        <v>267</v>
      </c>
      <c r="C170" s="25" t="s">
        <v>430</v>
      </c>
      <c r="D170" s="26" t="s">
        <v>431</v>
      </c>
      <c r="E170" s="25" t="s">
        <v>261</v>
      </c>
      <c r="F170" s="27" t="s">
        <v>501</v>
      </c>
      <c r="G170" s="27">
        <v>25.83</v>
      </c>
      <c r="H170" s="31">
        <f t="shared" si="20"/>
        <v>123.98</v>
      </c>
    </row>
    <row r="171" spans="2:8" ht="17.25" customHeight="1">
      <c r="B171" s="25" t="s">
        <v>267</v>
      </c>
      <c r="C171" s="25" t="s">
        <v>263</v>
      </c>
      <c r="D171" s="26" t="s">
        <v>264</v>
      </c>
      <c r="E171" s="25" t="s">
        <v>261</v>
      </c>
      <c r="F171" s="27" t="s">
        <v>502</v>
      </c>
      <c r="G171" s="27">
        <v>17.36</v>
      </c>
      <c r="H171" s="31">
        <f t="shared" si="20"/>
        <v>39.93</v>
      </c>
    </row>
    <row r="172" spans="2:8" ht="17.25" customHeight="1">
      <c r="B172" s="25" t="s">
        <v>267</v>
      </c>
      <c r="C172" s="25" t="s">
        <v>503</v>
      </c>
      <c r="D172" s="26" t="s">
        <v>504</v>
      </c>
      <c r="E172" s="25" t="s">
        <v>13</v>
      </c>
      <c r="F172" s="27" t="s">
        <v>505</v>
      </c>
      <c r="G172" s="27">
        <v>382.76</v>
      </c>
      <c r="H172" s="31">
        <f t="shared" si="20"/>
        <v>1.26</v>
      </c>
    </row>
    <row r="173" spans="2:8">
      <c r="B173" s="25"/>
      <c r="G173" s="33" t="s">
        <v>4</v>
      </c>
      <c r="H173" s="34">
        <f>SUM(H168:H172)</f>
        <v>518.29</v>
      </c>
    </row>
    <row r="176" spans="2:8" ht="24">
      <c r="B176" s="37"/>
      <c r="C176" s="37" t="s">
        <v>267</v>
      </c>
      <c r="D176" s="38" t="s">
        <v>521</v>
      </c>
      <c r="E176" s="37" t="s">
        <v>435</v>
      </c>
      <c r="F176" s="39" t="s">
        <v>5</v>
      </c>
      <c r="G176" s="39"/>
      <c r="H176" s="48"/>
    </row>
    <row r="177" spans="2:8" ht="18.75" customHeight="1">
      <c r="B177" s="25" t="s">
        <v>248</v>
      </c>
      <c r="C177" s="25" t="s">
        <v>508</v>
      </c>
      <c r="D177" s="26" t="s">
        <v>509</v>
      </c>
      <c r="E177" s="25" t="s">
        <v>510</v>
      </c>
      <c r="F177" s="27" t="s">
        <v>283</v>
      </c>
      <c r="G177" s="31">
        <v>20.86</v>
      </c>
      <c r="H177" s="31">
        <f>ROUND(F177*G177,2)</f>
        <v>15.02</v>
      </c>
    </row>
    <row r="178" spans="2:8" ht="18.75" customHeight="1">
      <c r="B178" s="25" t="s">
        <v>248</v>
      </c>
      <c r="C178" s="25" t="s">
        <v>511</v>
      </c>
      <c r="D178" s="26" t="s">
        <v>512</v>
      </c>
      <c r="E178" s="25" t="s">
        <v>7</v>
      </c>
      <c r="F178" s="27">
        <v>2.35</v>
      </c>
      <c r="G178" s="31">
        <v>9.5</v>
      </c>
      <c r="H178" s="31">
        <f t="shared" ref="H178:H183" si="21">ROUND(F178*G178,2)</f>
        <v>22.33</v>
      </c>
    </row>
    <row r="179" spans="2:8" ht="18.75" customHeight="1">
      <c r="B179" s="25" t="s">
        <v>248</v>
      </c>
      <c r="C179" s="25" t="s">
        <v>513</v>
      </c>
      <c r="D179" s="26" t="s">
        <v>514</v>
      </c>
      <c r="E179" s="25" t="s">
        <v>20</v>
      </c>
      <c r="F179" s="27" t="s">
        <v>515</v>
      </c>
      <c r="G179" s="31">
        <v>10.87</v>
      </c>
      <c r="H179" s="31">
        <f t="shared" si="21"/>
        <v>0.4</v>
      </c>
    </row>
    <row r="180" spans="2:8" ht="24">
      <c r="B180" s="25" t="s">
        <v>248</v>
      </c>
      <c r="C180" s="25" t="s">
        <v>516</v>
      </c>
      <c r="D180" s="26" t="s">
        <v>517</v>
      </c>
      <c r="E180" s="25" t="s">
        <v>7</v>
      </c>
      <c r="F180" s="27">
        <f>2.35+(2.1*2)</f>
        <v>6.5500000000000007</v>
      </c>
      <c r="G180" s="31">
        <v>4.6900000000000004</v>
      </c>
      <c r="H180" s="31">
        <f t="shared" si="21"/>
        <v>30.72</v>
      </c>
    </row>
    <row r="181" spans="2:8" ht="24">
      <c r="B181" s="25" t="s">
        <v>248</v>
      </c>
      <c r="C181" s="25">
        <v>5002</v>
      </c>
      <c r="D181" s="26" t="s">
        <v>520</v>
      </c>
      <c r="E181" s="25" t="s">
        <v>6</v>
      </c>
      <c r="F181" s="27">
        <f>2.35*2.1</f>
        <v>4.9350000000000005</v>
      </c>
      <c r="G181" s="31">
        <v>263.64999999999998</v>
      </c>
      <c r="H181" s="31">
        <f t="shared" si="21"/>
        <v>1301.1099999999999</v>
      </c>
    </row>
    <row r="182" spans="2:8" ht="15.75" customHeight="1">
      <c r="B182" s="25" t="s">
        <v>258</v>
      </c>
      <c r="C182" s="25" t="s">
        <v>446</v>
      </c>
      <c r="D182" s="26" t="s">
        <v>447</v>
      </c>
      <c r="E182" s="25" t="s">
        <v>261</v>
      </c>
      <c r="F182" s="27" t="s">
        <v>518</v>
      </c>
      <c r="G182" s="31">
        <v>19.489999999999998</v>
      </c>
      <c r="H182" s="31">
        <f t="shared" si="21"/>
        <v>33.78</v>
      </c>
    </row>
    <row r="183" spans="2:8" ht="15.75" customHeight="1">
      <c r="B183" s="25" t="s">
        <v>258</v>
      </c>
      <c r="C183" s="25" t="s">
        <v>263</v>
      </c>
      <c r="D183" s="26" t="s">
        <v>264</v>
      </c>
      <c r="E183" s="25" t="s">
        <v>261</v>
      </c>
      <c r="F183" s="27" t="s">
        <v>519</v>
      </c>
      <c r="G183" s="31">
        <v>17.36</v>
      </c>
      <c r="H183" s="31">
        <f t="shared" si="21"/>
        <v>15.04</v>
      </c>
    </row>
    <row r="184" spans="2:8">
      <c r="G184" s="33" t="s">
        <v>4</v>
      </c>
      <c r="H184" s="34">
        <f>SUM(H177:H183)</f>
        <v>1418.3999999999999</v>
      </c>
    </row>
    <row r="187" spans="2:8" ht="24">
      <c r="B187" s="37"/>
      <c r="C187" s="37" t="s">
        <v>267</v>
      </c>
      <c r="D187" s="38" t="s">
        <v>522</v>
      </c>
      <c r="E187" s="37" t="s">
        <v>435</v>
      </c>
      <c r="F187" s="39" t="s">
        <v>5</v>
      </c>
      <c r="G187" s="39"/>
      <c r="H187" s="48"/>
    </row>
    <row r="188" spans="2:8">
      <c r="B188" s="25" t="s">
        <v>248</v>
      </c>
      <c r="C188" s="25" t="s">
        <v>508</v>
      </c>
      <c r="D188" s="26" t="s">
        <v>509</v>
      </c>
      <c r="E188" s="25" t="s">
        <v>510</v>
      </c>
      <c r="F188" s="27" t="s">
        <v>283</v>
      </c>
      <c r="G188" s="31">
        <v>20.86</v>
      </c>
      <c r="H188" s="31">
        <f>ROUND(F188*G188,2)</f>
        <v>15.02</v>
      </c>
    </row>
    <row r="189" spans="2:8">
      <c r="B189" s="25" t="s">
        <v>248</v>
      </c>
      <c r="C189" s="25" t="s">
        <v>511</v>
      </c>
      <c r="D189" s="26" t="s">
        <v>512</v>
      </c>
      <c r="E189" s="25" t="s">
        <v>7</v>
      </c>
      <c r="F189" s="27">
        <v>1.6</v>
      </c>
      <c r="G189" s="31">
        <v>9.5</v>
      </c>
      <c r="H189" s="31">
        <f t="shared" ref="H189:H194" si="22">ROUND(F189*G189,2)</f>
        <v>15.2</v>
      </c>
    </row>
    <row r="190" spans="2:8">
      <c r="B190" s="25" t="s">
        <v>248</v>
      </c>
      <c r="C190" s="25" t="s">
        <v>513</v>
      </c>
      <c r="D190" s="26" t="s">
        <v>514</v>
      </c>
      <c r="E190" s="25" t="s">
        <v>20</v>
      </c>
      <c r="F190" s="27" t="s">
        <v>515</v>
      </c>
      <c r="G190" s="31">
        <v>10.87</v>
      </c>
      <c r="H190" s="31">
        <f t="shared" si="22"/>
        <v>0.4</v>
      </c>
    </row>
    <row r="191" spans="2:8" ht="24">
      <c r="B191" s="25" t="s">
        <v>248</v>
      </c>
      <c r="C191" s="25" t="s">
        <v>516</v>
      </c>
      <c r="D191" s="26" t="s">
        <v>517</v>
      </c>
      <c r="E191" s="25" t="s">
        <v>7</v>
      </c>
      <c r="F191" s="27">
        <f>(1.6+(2.1*2))</f>
        <v>5.8000000000000007</v>
      </c>
      <c r="G191" s="31">
        <v>4.6900000000000004</v>
      </c>
      <c r="H191" s="31">
        <f t="shared" si="22"/>
        <v>27.2</v>
      </c>
    </row>
    <row r="192" spans="2:8" ht="24">
      <c r="B192" s="25" t="s">
        <v>248</v>
      </c>
      <c r="C192" s="25">
        <v>4998</v>
      </c>
      <c r="D192" s="26" t="s">
        <v>448</v>
      </c>
      <c r="E192" s="25" t="s">
        <v>6</v>
      </c>
      <c r="F192" s="27">
        <f>1.6*2.1</f>
        <v>3.3600000000000003</v>
      </c>
      <c r="G192" s="31">
        <v>361.67</v>
      </c>
      <c r="H192" s="31">
        <f t="shared" si="22"/>
        <v>1215.21</v>
      </c>
    </row>
    <row r="193" spans="2:8">
      <c r="B193" s="25" t="s">
        <v>258</v>
      </c>
      <c r="C193" s="25" t="s">
        <v>446</v>
      </c>
      <c r="D193" s="26" t="s">
        <v>447</v>
      </c>
      <c r="E193" s="25" t="s">
        <v>261</v>
      </c>
      <c r="F193" s="27" t="s">
        <v>518</v>
      </c>
      <c r="G193" s="31">
        <v>19.489999999999998</v>
      </c>
      <c r="H193" s="31">
        <f t="shared" si="22"/>
        <v>33.78</v>
      </c>
    </row>
    <row r="194" spans="2:8">
      <c r="B194" s="25" t="s">
        <v>258</v>
      </c>
      <c r="C194" s="25" t="s">
        <v>263</v>
      </c>
      <c r="D194" s="26" t="s">
        <v>264</v>
      </c>
      <c r="E194" s="25" t="s">
        <v>261</v>
      </c>
      <c r="F194" s="27" t="s">
        <v>519</v>
      </c>
      <c r="G194" s="31">
        <v>17.36</v>
      </c>
      <c r="H194" s="31">
        <f t="shared" si="22"/>
        <v>15.04</v>
      </c>
    </row>
    <row r="195" spans="2:8">
      <c r="G195" s="33" t="s">
        <v>4</v>
      </c>
      <c r="H195" s="34">
        <f>SUM(H188:H194)</f>
        <v>1321.85</v>
      </c>
    </row>
    <row r="198" spans="2:8" ht="36">
      <c r="B198" s="37"/>
      <c r="C198" s="37" t="s">
        <v>267</v>
      </c>
      <c r="D198" s="38" t="s">
        <v>523</v>
      </c>
      <c r="E198" s="37" t="s">
        <v>435</v>
      </c>
      <c r="F198" s="39" t="s">
        <v>5</v>
      </c>
      <c r="G198" s="39"/>
      <c r="H198" s="48"/>
    </row>
    <row r="199" spans="2:8">
      <c r="B199" s="25" t="s">
        <v>248</v>
      </c>
      <c r="C199" s="25" t="s">
        <v>508</v>
      </c>
      <c r="D199" s="26" t="s">
        <v>509</v>
      </c>
      <c r="E199" s="25" t="s">
        <v>510</v>
      </c>
      <c r="F199" s="27" t="s">
        <v>283</v>
      </c>
      <c r="G199" s="31">
        <v>20.86</v>
      </c>
      <c r="H199" s="31">
        <f>ROUND(F199*G199,2)</f>
        <v>15.02</v>
      </c>
    </row>
    <row r="200" spans="2:8">
      <c r="B200" s="25" t="s">
        <v>248</v>
      </c>
      <c r="C200" s="25" t="s">
        <v>511</v>
      </c>
      <c r="D200" s="26" t="s">
        <v>512</v>
      </c>
      <c r="E200" s="25" t="s">
        <v>7</v>
      </c>
      <c r="F200" s="27">
        <v>1.8</v>
      </c>
      <c r="G200" s="31">
        <v>9.5</v>
      </c>
      <c r="H200" s="31">
        <f t="shared" ref="H200:H206" si="23">ROUND(F200*G200,2)</f>
        <v>17.100000000000001</v>
      </c>
    </row>
    <row r="201" spans="2:8">
      <c r="B201" s="25" t="s">
        <v>248</v>
      </c>
      <c r="C201" s="25" t="s">
        <v>513</v>
      </c>
      <c r="D201" s="26" t="s">
        <v>514</v>
      </c>
      <c r="E201" s="25" t="s">
        <v>20</v>
      </c>
      <c r="F201" s="27" t="s">
        <v>515</v>
      </c>
      <c r="G201" s="31">
        <v>10.87</v>
      </c>
      <c r="H201" s="31">
        <f t="shared" si="23"/>
        <v>0.4</v>
      </c>
    </row>
    <row r="202" spans="2:8" ht="24">
      <c r="B202" s="25" t="s">
        <v>248</v>
      </c>
      <c r="C202" s="25" t="s">
        <v>516</v>
      </c>
      <c r="D202" s="26" t="s">
        <v>517</v>
      </c>
      <c r="E202" s="25" t="s">
        <v>7</v>
      </c>
      <c r="F202" s="27">
        <f>(1.6+(2.1*2))</f>
        <v>5.8000000000000007</v>
      </c>
      <c r="G202" s="31">
        <v>4.6900000000000004</v>
      </c>
      <c r="H202" s="31">
        <f t="shared" si="23"/>
        <v>27.2</v>
      </c>
    </row>
    <row r="203" spans="2:8" ht="24">
      <c r="B203" s="25" t="s">
        <v>248</v>
      </c>
      <c r="C203" s="25">
        <v>5002</v>
      </c>
      <c r="D203" s="26" t="s">
        <v>520</v>
      </c>
      <c r="E203" s="25" t="s">
        <v>6</v>
      </c>
      <c r="F203" s="27">
        <f>0.9*2.1</f>
        <v>1.8900000000000001</v>
      </c>
      <c r="G203" s="31">
        <v>263.95</v>
      </c>
      <c r="H203" s="31">
        <f t="shared" si="23"/>
        <v>498.87</v>
      </c>
    </row>
    <row r="204" spans="2:8" ht="24">
      <c r="B204" s="25" t="s">
        <v>248</v>
      </c>
      <c r="C204" s="25">
        <v>4998</v>
      </c>
      <c r="D204" s="26" t="s">
        <v>448</v>
      </c>
      <c r="E204" s="25" t="s">
        <v>6</v>
      </c>
      <c r="F204" s="27">
        <f>0.9*2.1</f>
        <v>1.8900000000000001</v>
      </c>
      <c r="G204" s="31">
        <v>361.67</v>
      </c>
      <c r="H204" s="31">
        <f t="shared" si="23"/>
        <v>683.56</v>
      </c>
    </row>
    <row r="205" spans="2:8">
      <c r="B205" s="25" t="s">
        <v>258</v>
      </c>
      <c r="C205" s="25" t="s">
        <v>446</v>
      </c>
      <c r="D205" s="26" t="s">
        <v>447</v>
      </c>
      <c r="E205" s="25" t="s">
        <v>261</v>
      </c>
      <c r="F205" s="27" t="s">
        <v>518</v>
      </c>
      <c r="G205" s="31">
        <v>19.489999999999998</v>
      </c>
      <c r="H205" s="31">
        <f t="shared" si="23"/>
        <v>33.78</v>
      </c>
    </row>
    <row r="206" spans="2:8">
      <c r="B206" s="25" t="s">
        <v>258</v>
      </c>
      <c r="C206" s="25" t="s">
        <v>263</v>
      </c>
      <c r="D206" s="26" t="s">
        <v>264</v>
      </c>
      <c r="E206" s="25" t="s">
        <v>261</v>
      </c>
      <c r="F206" s="27" t="s">
        <v>519</v>
      </c>
      <c r="G206" s="31">
        <v>17.36</v>
      </c>
      <c r="H206" s="31">
        <f t="shared" si="23"/>
        <v>15.04</v>
      </c>
    </row>
    <row r="207" spans="2:8">
      <c r="G207" s="33" t="s">
        <v>4</v>
      </c>
      <c r="H207" s="34">
        <f>SUM(H199:H206)</f>
        <v>1290.97</v>
      </c>
    </row>
    <row r="209" spans="2:8" ht="36">
      <c r="B209" s="37" t="s">
        <v>459</v>
      </c>
      <c r="C209" s="37" t="s">
        <v>529</v>
      </c>
      <c r="D209" s="38" t="s">
        <v>528</v>
      </c>
      <c r="E209" s="37" t="s">
        <v>8</v>
      </c>
      <c r="F209" s="39" t="s">
        <v>5</v>
      </c>
      <c r="G209" s="39" t="s">
        <v>390</v>
      </c>
      <c r="H209" s="48"/>
    </row>
    <row r="210" spans="2:8" ht="24">
      <c r="B210" s="25" t="s">
        <v>258</v>
      </c>
      <c r="C210" s="25">
        <v>100709</v>
      </c>
      <c r="D210" s="26" t="s">
        <v>526</v>
      </c>
      <c r="E210" s="25" t="s">
        <v>8</v>
      </c>
      <c r="F210" s="27">
        <v>3</v>
      </c>
      <c r="G210" s="27">
        <v>40.020000000000003</v>
      </c>
      <c r="H210" s="31">
        <f t="shared" ref="H210:H212" si="24">ROUND(F210*G210,2)</f>
        <v>120.06</v>
      </c>
    </row>
    <row r="211" spans="2:8">
      <c r="B211" s="25" t="s">
        <v>248</v>
      </c>
      <c r="C211" s="25">
        <v>10503</v>
      </c>
      <c r="D211" s="26" t="s">
        <v>527</v>
      </c>
      <c r="E211" s="25" t="s">
        <v>6</v>
      </c>
      <c r="F211" s="27">
        <f>0.6*1.8</f>
        <v>1.08</v>
      </c>
      <c r="G211" s="27">
        <v>213.45</v>
      </c>
      <c r="H211" s="31">
        <f t="shared" si="24"/>
        <v>230.53</v>
      </c>
    </row>
    <row r="212" spans="2:8">
      <c r="B212" s="25" t="s">
        <v>258</v>
      </c>
      <c r="C212" s="25" t="s">
        <v>524</v>
      </c>
      <c r="D212" s="26" t="s">
        <v>525</v>
      </c>
      <c r="E212" s="25" t="s">
        <v>261</v>
      </c>
      <c r="F212" s="27" t="s">
        <v>472</v>
      </c>
      <c r="G212" s="27">
        <v>25.53</v>
      </c>
      <c r="H212" s="31">
        <f t="shared" si="24"/>
        <v>7.66</v>
      </c>
    </row>
    <row r="213" spans="2:8">
      <c r="G213" s="33" t="s">
        <v>4</v>
      </c>
      <c r="H213" s="34">
        <f>SUM(H210:H212)</f>
        <v>358.25000000000006</v>
      </c>
    </row>
    <row r="216" spans="2:8">
      <c r="B216" s="78"/>
      <c r="C216" s="78"/>
      <c r="D216" s="79" t="s">
        <v>530</v>
      </c>
      <c r="E216" s="78" t="s">
        <v>6</v>
      </c>
      <c r="F216" s="315" t="s">
        <v>608</v>
      </c>
      <c r="G216" s="316"/>
      <c r="H216" s="317"/>
    </row>
    <row r="217" spans="2:8">
      <c r="B217" s="78" t="s">
        <v>248</v>
      </c>
      <c r="C217" s="78">
        <v>3</v>
      </c>
      <c r="D217" s="79" t="s">
        <v>531</v>
      </c>
      <c r="E217" s="78" t="s">
        <v>532</v>
      </c>
      <c r="F217" s="80">
        <v>0.05</v>
      </c>
      <c r="G217" s="80">
        <v>4.8099999999999996</v>
      </c>
      <c r="H217" s="81">
        <f>ROUND(F217*G217,20)</f>
        <v>0.24049999999999999</v>
      </c>
    </row>
    <row r="218" spans="2:8">
      <c r="B218" s="78" t="s">
        <v>267</v>
      </c>
      <c r="C218" s="78">
        <v>88316</v>
      </c>
      <c r="D218" s="79" t="s">
        <v>264</v>
      </c>
      <c r="E218" s="78" t="s">
        <v>261</v>
      </c>
      <c r="F218" s="80">
        <v>0.14000000000000001</v>
      </c>
      <c r="G218" s="80">
        <v>17.36</v>
      </c>
      <c r="H218" s="81">
        <f>ROUND(F218*G218,20)</f>
        <v>2.4304000000000001</v>
      </c>
    </row>
    <row r="219" spans="2:8">
      <c r="B219" s="82"/>
      <c r="C219" s="82"/>
      <c r="D219" s="82"/>
      <c r="E219" s="82"/>
      <c r="F219" s="82"/>
      <c r="G219" s="83" t="s">
        <v>4</v>
      </c>
      <c r="H219" s="84">
        <f>SUM(H216:H218)</f>
        <v>2.6709000000000001</v>
      </c>
    </row>
    <row r="221" spans="2:8" ht="36" customHeight="1">
      <c r="B221" s="37"/>
      <c r="C221" s="37"/>
      <c r="D221" s="38" t="s">
        <v>537</v>
      </c>
      <c r="E221" s="37" t="s">
        <v>8</v>
      </c>
      <c r="F221" s="39" t="s">
        <v>5</v>
      </c>
      <c r="G221" s="39"/>
      <c r="H221" s="48"/>
    </row>
    <row r="222" spans="2:8">
      <c r="B222" s="25" t="s">
        <v>248</v>
      </c>
      <c r="C222" s="25">
        <v>34688</v>
      </c>
      <c r="D222" s="26" t="s">
        <v>536</v>
      </c>
      <c r="E222" s="25" t="s">
        <v>8</v>
      </c>
      <c r="F222" s="27" t="s">
        <v>251</v>
      </c>
      <c r="G222" s="27">
        <v>17.07</v>
      </c>
      <c r="H222" s="31">
        <f>ROUND(F222*G222,20)</f>
        <v>17.07</v>
      </c>
    </row>
    <row r="223" spans="2:8">
      <c r="B223" s="25" t="s">
        <v>258</v>
      </c>
      <c r="C223" s="25" t="s">
        <v>373</v>
      </c>
      <c r="D223" s="26" t="s">
        <v>374</v>
      </c>
      <c r="E223" s="25" t="s">
        <v>261</v>
      </c>
      <c r="F223" s="27" t="s">
        <v>469</v>
      </c>
      <c r="G223" s="27">
        <v>17.5</v>
      </c>
      <c r="H223" s="31">
        <f t="shared" ref="H223:H224" si="25">ROUND(F223*G223,20)</f>
        <v>7</v>
      </c>
    </row>
    <row r="224" spans="2:8">
      <c r="B224" s="25" t="s">
        <v>258</v>
      </c>
      <c r="C224" s="25" t="s">
        <v>376</v>
      </c>
      <c r="D224" s="26" t="s">
        <v>377</v>
      </c>
      <c r="E224" s="25" t="s">
        <v>261</v>
      </c>
      <c r="F224" s="27" t="s">
        <v>469</v>
      </c>
      <c r="G224" s="27">
        <v>22.57</v>
      </c>
      <c r="H224" s="31">
        <f t="shared" si="25"/>
        <v>9.0280000000000005</v>
      </c>
    </row>
    <row r="225" spans="2:8">
      <c r="G225" s="33" t="s">
        <v>4</v>
      </c>
      <c r="H225" s="34">
        <f>SUM(H222:H224)</f>
        <v>33.097999999999999</v>
      </c>
    </row>
    <row r="228" spans="2:8" ht="24">
      <c r="B228" s="37"/>
      <c r="C228" s="37"/>
      <c r="D228" s="38" t="s">
        <v>539</v>
      </c>
      <c r="E228" s="37" t="s">
        <v>8</v>
      </c>
      <c r="F228" s="39" t="s">
        <v>5</v>
      </c>
      <c r="G228" s="39"/>
      <c r="H228" s="48"/>
    </row>
    <row r="229" spans="2:8">
      <c r="B229" s="25" t="s">
        <v>248</v>
      </c>
      <c r="C229" s="25">
        <v>34689</v>
      </c>
      <c r="D229" s="26" t="s">
        <v>538</v>
      </c>
      <c r="E229" s="25" t="s">
        <v>8</v>
      </c>
      <c r="F229" s="27" t="s">
        <v>251</v>
      </c>
      <c r="G229" s="27">
        <v>32.06</v>
      </c>
      <c r="H229" s="31">
        <f>ROUND(F229*G229,20)</f>
        <v>32.06</v>
      </c>
    </row>
    <row r="230" spans="2:8">
      <c r="B230" s="25" t="s">
        <v>258</v>
      </c>
      <c r="C230" s="25" t="s">
        <v>373</v>
      </c>
      <c r="D230" s="26" t="s">
        <v>374</v>
      </c>
      <c r="E230" s="25" t="s">
        <v>261</v>
      </c>
      <c r="F230" s="27" t="s">
        <v>469</v>
      </c>
      <c r="G230" s="27">
        <v>17.5</v>
      </c>
      <c r="H230" s="31">
        <f t="shared" ref="H230:H231" si="26">ROUND(F230*G230,20)</f>
        <v>7</v>
      </c>
    </row>
    <row r="231" spans="2:8">
      <c r="B231" s="25" t="s">
        <v>258</v>
      </c>
      <c r="C231" s="25" t="s">
        <v>376</v>
      </c>
      <c r="D231" s="26" t="s">
        <v>377</v>
      </c>
      <c r="E231" s="25" t="s">
        <v>261</v>
      </c>
      <c r="F231" s="27" t="s">
        <v>469</v>
      </c>
      <c r="G231" s="27">
        <v>22.57</v>
      </c>
      <c r="H231" s="31">
        <f t="shared" si="26"/>
        <v>9.0280000000000005</v>
      </c>
    </row>
    <row r="232" spans="2:8">
      <c r="G232" s="33" t="s">
        <v>4</v>
      </c>
      <c r="H232" s="34">
        <f>SUM(H229:H231)</f>
        <v>48.088000000000001</v>
      </c>
    </row>
    <row r="234" spans="2:8" ht="36">
      <c r="B234" s="37"/>
      <c r="C234" s="37"/>
      <c r="D234" s="38" t="s">
        <v>541</v>
      </c>
      <c r="E234" s="37" t="s">
        <v>8</v>
      </c>
      <c r="F234" s="39" t="s">
        <v>5</v>
      </c>
      <c r="G234" s="39" t="s">
        <v>390</v>
      </c>
      <c r="H234" s="48"/>
    </row>
    <row r="235" spans="2:8">
      <c r="B235" s="25" t="s">
        <v>248</v>
      </c>
      <c r="C235" s="25">
        <v>39449</v>
      </c>
      <c r="D235" s="26" t="s">
        <v>540</v>
      </c>
      <c r="E235" s="25" t="s">
        <v>8</v>
      </c>
      <c r="F235" s="27" t="s">
        <v>251</v>
      </c>
      <c r="G235" s="27">
        <v>333.96</v>
      </c>
      <c r="H235" s="31">
        <f>ROUND(F235*G235,20)</f>
        <v>333.96</v>
      </c>
    </row>
    <row r="236" spans="2:8">
      <c r="B236" s="25" t="s">
        <v>258</v>
      </c>
      <c r="C236" s="25" t="s">
        <v>373</v>
      </c>
      <c r="D236" s="26" t="s">
        <v>374</v>
      </c>
      <c r="E236" s="25" t="s">
        <v>261</v>
      </c>
      <c r="F236" s="27" t="s">
        <v>469</v>
      </c>
      <c r="G236" s="27">
        <v>17.5</v>
      </c>
      <c r="H236" s="31">
        <f t="shared" ref="H236:H237" si="27">ROUND(F236*G236,20)</f>
        <v>7</v>
      </c>
    </row>
    <row r="237" spans="2:8">
      <c r="B237" s="25" t="s">
        <v>258</v>
      </c>
      <c r="C237" s="25" t="s">
        <v>376</v>
      </c>
      <c r="D237" s="26" t="s">
        <v>377</v>
      </c>
      <c r="E237" s="25" t="s">
        <v>261</v>
      </c>
      <c r="F237" s="27" t="s">
        <v>469</v>
      </c>
      <c r="G237" s="27">
        <v>22.57</v>
      </c>
      <c r="H237" s="31">
        <f t="shared" si="27"/>
        <v>9.0280000000000005</v>
      </c>
    </row>
    <row r="238" spans="2:8">
      <c r="G238" s="33" t="s">
        <v>4</v>
      </c>
      <c r="H238" s="34">
        <f>SUM(H235:H237)</f>
        <v>349.988</v>
      </c>
    </row>
    <row r="241" spans="2:8" ht="36">
      <c r="B241" s="37"/>
      <c r="C241" s="37"/>
      <c r="D241" s="38" t="s">
        <v>544</v>
      </c>
      <c r="E241" s="37" t="s">
        <v>8</v>
      </c>
      <c r="F241" s="39" t="s">
        <v>5</v>
      </c>
      <c r="G241" s="39" t="s">
        <v>390</v>
      </c>
      <c r="H241" s="48"/>
    </row>
    <row r="242" spans="2:8" ht="24">
      <c r="B242" s="25"/>
      <c r="C242" s="25">
        <v>1101</v>
      </c>
      <c r="D242" s="26" t="s">
        <v>545</v>
      </c>
      <c r="E242" s="25" t="s">
        <v>435</v>
      </c>
      <c r="F242" s="27">
        <v>2</v>
      </c>
      <c r="G242" s="27">
        <v>21.21</v>
      </c>
      <c r="H242" s="31">
        <f t="shared" ref="H242:H250" si="28">ROUND(F242*G242,20)</f>
        <v>42.42</v>
      </c>
    </row>
    <row r="243" spans="2:8" ht="24">
      <c r="B243" s="25"/>
      <c r="C243" s="25">
        <v>98111</v>
      </c>
      <c r="D243" s="26" t="s">
        <v>104</v>
      </c>
      <c r="E243" s="25" t="s">
        <v>435</v>
      </c>
      <c r="F243" s="27">
        <v>4</v>
      </c>
      <c r="G243" s="27">
        <v>22.37</v>
      </c>
      <c r="H243" s="31">
        <f t="shared" si="28"/>
        <v>89.48</v>
      </c>
    </row>
    <row r="244" spans="2:8" ht="24">
      <c r="B244" s="25"/>
      <c r="C244" s="25">
        <v>12327</v>
      </c>
      <c r="D244" s="26" t="s">
        <v>546</v>
      </c>
      <c r="E244" s="25" t="s">
        <v>435</v>
      </c>
      <c r="F244" s="27">
        <v>10</v>
      </c>
      <c r="G244" s="27">
        <v>23.18</v>
      </c>
      <c r="H244" s="31">
        <f t="shared" si="28"/>
        <v>231.8</v>
      </c>
    </row>
    <row r="245" spans="2:8">
      <c r="B245" s="25"/>
      <c r="C245" s="25">
        <v>96986</v>
      </c>
      <c r="D245" s="26" t="s">
        <v>547</v>
      </c>
      <c r="E245" s="25" t="s">
        <v>435</v>
      </c>
      <c r="F245" s="27">
        <v>2</v>
      </c>
      <c r="G245" s="27">
        <v>60.41</v>
      </c>
      <c r="H245" s="31">
        <f t="shared" si="28"/>
        <v>120.82</v>
      </c>
    </row>
    <row r="246" spans="2:8">
      <c r="B246" s="25"/>
      <c r="C246" s="25">
        <v>3393</v>
      </c>
      <c r="D246" s="26" t="s">
        <v>548</v>
      </c>
      <c r="E246" s="25" t="s">
        <v>435</v>
      </c>
      <c r="F246" s="27">
        <v>2</v>
      </c>
      <c r="G246" s="27">
        <v>568.45000000000005</v>
      </c>
      <c r="H246" s="31">
        <f t="shared" si="28"/>
        <v>1136.9000000000001</v>
      </c>
    </row>
    <row r="247" spans="2:8" ht="24">
      <c r="B247" s="25"/>
      <c r="C247" s="25" t="s">
        <v>549</v>
      </c>
      <c r="D247" s="26" t="s">
        <v>75</v>
      </c>
      <c r="E247" s="25" t="s">
        <v>8</v>
      </c>
      <c r="F247" s="27">
        <v>1</v>
      </c>
      <c r="G247" s="27">
        <v>649.87</v>
      </c>
      <c r="H247" s="31">
        <f t="shared" si="28"/>
        <v>649.87</v>
      </c>
    </row>
    <row r="248" spans="2:8" ht="24">
      <c r="B248" s="25"/>
      <c r="C248" s="25">
        <v>43093</v>
      </c>
      <c r="D248" s="26" t="s">
        <v>550</v>
      </c>
      <c r="E248" s="25" t="s">
        <v>8</v>
      </c>
      <c r="F248" s="27">
        <v>1</v>
      </c>
      <c r="G248" s="27">
        <v>177.67</v>
      </c>
      <c r="H248" s="31">
        <f t="shared" si="28"/>
        <v>177.67</v>
      </c>
    </row>
    <row r="249" spans="2:8">
      <c r="B249" s="25" t="s">
        <v>258</v>
      </c>
      <c r="C249" s="25" t="s">
        <v>373</v>
      </c>
      <c r="D249" s="26" t="s">
        <v>374</v>
      </c>
      <c r="E249" s="25" t="s">
        <v>261</v>
      </c>
      <c r="F249" s="27">
        <v>8</v>
      </c>
      <c r="G249" s="27">
        <v>17.5</v>
      </c>
      <c r="H249" s="31">
        <f t="shared" si="28"/>
        <v>140</v>
      </c>
    </row>
    <row r="250" spans="2:8">
      <c r="B250" s="25" t="s">
        <v>258</v>
      </c>
      <c r="C250" s="25" t="s">
        <v>376</v>
      </c>
      <c r="D250" s="26" t="s">
        <v>377</v>
      </c>
      <c r="E250" s="25" t="s">
        <v>261</v>
      </c>
      <c r="F250" s="27">
        <v>8</v>
      </c>
      <c r="G250" s="27">
        <v>22.57</v>
      </c>
      <c r="H250" s="31">
        <f t="shared" si="28"/>
        <v>180.56</v>
      </c>
    </row>
    <row r="251" spans="2:8">
      <c r="G251" s="33" t="s">
        <v>4</v>
      </c>
      <c r="H251" s="34">
        <f>SUM(H242:H250)</f>
        <v>2769.52</v>
      </c>
    </row>
    <row r="254" spans="2:8" ht="36">
      <c r="B254" s="37"/>
      <c r="C254" s="37"/>
      <c r="D254" s="38" t="s">
        <v>555</v>
      </c>
      <c r="E254" s="37" t="s">
        <v>8</v>
      </c>
      <c r="F254" s="39" t="s">
        <v>5</v>
      </c>
      <c r="G254" s="39" t="s">
        <v>552</v>
      </c>
      <c r="H254" s="48"/>
    </row>
    <row r="255" spans="2:8" ht="24">
      <c r="B255" s="25" t="s">
        <v>258</v>
      </c>
      <c r="C255" s="25" t="s">
        <v>553</v>
      </c>
      <c r="D255" s="26" t="s">
        <v>554</v>
      </c>
      <c r="E255" s="25" t="s">
        <v>8</v>
      </c>
      <c r="F255" s="27" t="s">
        <v>251</v>
      </c>
      <c r="G255" s="27">
        <v>11.5</v>
      </c>
      <c r="H255" s="31">
        <f t="shared" ref="H255:H256" si="29">ROUND(F255*G255,20)</f>
        <v>11.5</v>
      </c>
    </row>
    <row r="256" spans="2:8">
      <c r="B256" s="25" t="s">
        <v>258</v>
      </c>
      <c r="C256" s="25">
        <v>98307</v>
      </c>
      <c r="D256" s="26" t="s">
        <v>115</v>
      </c>
      <c r="E256" s="25" t="s">
        <v>8</v>
      </c>
      <c r="F256" s="27">
        <v>1</v>
      </c>
      <c r="G256" s="27">
        <v>43.26</v>
      </c>
      <c r="H256" s="31">
        <f t="shared" si="29"/>
        <v>43.26</v>
      </c>
    </row>
    <row r="257" spans="2:8">
      <c r="G257" s="33" t="s">
        <v>4</v>
      </c>
      <c r="H257" s="34">
        <f>SUM(H255:H256)</f>
        <v>54.76</v>
      </c>
    </row>
    <row r="260" spans="2:8" ht="36">
      <c r="B260" s="37"/>
      <c r="C260" s="37"/>
      <c r="D260" s="38" t="s">
        <v>559</v>
      </c>
      <c r="E260" s="37" t="s">
        <v>8</v>
      </c>
      <c r="F260" s="39" t="s">
        <v>5</v>
      </c>
      <c r="G260" s="39" t="s">
        <v>552</v>
      </c>
      <c r="H260" s="48"/>
    </row>
    <row r="261" spans="2:8">
      <c r="B261" s="25" t="s">
        <v>258</v>
      </c>
      <c r="C261" s="25">
        <v>95541</v>
      </c>
      <c r="D261" s="26" t="s">
        <v>561</v>
      </c>
      <c r="E261" s="25" t="s">
        <v>8</v>
      </c>
      <c r="F261" s="27">
        <v>4</v>
      </c>
      <c r="G261" s="27">
        <v>3.93</v>
      </c>
      <c r="H261" s="31">
        <f t="shared" ref="H261:H262" si="30">ROUND(F261*G261,20)</f>
        <v>15.72</v>
      </c>
    </row>
    <row r="262" spans="2:8">
      <c r="B262" s="25" t="s">
        <v>248</v>
      </c>
      <c r="C262" s="25">
        <v>36206</v>
      </c>
      <c r="D262" s="26" t="s">
        <v>560</v>
      </c>
      <c r="E262" s="25" t="s">
        <v>8</v>
      </c>
      <c r="F262" s="27">
        <v>1</v>
      </c>
      <c r="G262" s="27">
        <v>183.34</v>
      </c>
      <c r="H262" s="31">
        <f t="shared" si="30"/>
        <v>183.34</v>
      </c>
    </row>
    <row r="263" spans="2:8">
      <c r="G263" s="33" t="s">
        <v>4</v>
      </c>
      <c r="H263" s="34">
        <f>SUM(H261:H262)</f>
        <v>199.06</v>
      </c>
    </row>
  </sheetData>
  <mergeCells count="1">
    <mergeCell ref="F216:H216"/>
  </mergeCells>
  <conditionalFormatting sqref="B3:G5 B8:G11 G126:G131 B132:G132 B210:G212 B243:G243 B247:G250">
    <cfRule type="expression" dxfId="365" priority="385" stopIfTrue="1">
      <formula>AND($A3&lt;&gt;"COMPOSICAO",$A3&lt;&gt;"INSUMO",$A3&lt;&gt;"")</formula>
    </cfRule>
    <cfRule type="expression" dxfId="364" priority="386" stopIfTrue="1">
      <formula>AND(OR($A3="COMPOSICAO",$A3="INSUMO",$A3&lt;&gt;""),$A3&lt;&gt;"")</formula>
    </cfRule>
  </conditionalFormatting>
  <conditionalFormatting sqref="H3:H5 H8:H11">
    <cfRule type="expression" dxfId="363" priority="383" stopIfTrue="1">
      <formula>AND($A3&lt;&gt;"COMPOSICAO",$A3&lt;&gt;"INSUMO",$A3&lt;&gt;"")</formula>
    </cfRule>
    <cfRule type="expression" dxfId="362" priority="384" stopIfTrue="1">
      <formula>AND(OR($A3="COMPOSICAO",$A3="INSUMO",$A3&lt;&gt;""),$A3&lt;&gt;"")</formula>
    </cfRule>
  </conditionalFormatting>
  <conditionalFormatting sqref="B16:G17 B20:G23 B15 D15:G15">
    <cfRule type="expression" dxfId="361" priority="381" stopIfTrue="1">
      <formula>AND($A15&lt;&gt;"COMPOSICAO",$A15&lt;&gt;"INSUMO",$A15&lt;&gt;"")</formula>
    </cfRule>
    <cfRule type="expression" dxfId="360" priority="382" stopIfTrue="1">
      <formula>AND(OR($A15="COMPOSICAO",$A15="INSUMO",$A15&lt;&gt;""),$A15&lt;&gt;"")</formula>
    </cfRule>
  </conditionalFormatting>
  <conditionalFormatting sqref="H15:H17 H20:H23">
    <cfRule type="expression" dxfId="359" priority="379" stopIfTrue="1">
      <formula>AND($A15&lt;&gt;"COMPOSICAO",$A15&lt;&gt;"INSUMO",$A15&lt;&gt;"")</formula>
    </cfRule>
    <cfRule type="expression" dxfId="358" priority="380" stopIfTrue="1">
      <formula>AND(OR($A15="COMPOSICAO",$A15="INSUMO",$A15&lt;&gt;""),$A15&lt;&gt;"")</formula>
    </cfRule>
  </conditionalFormatting>
  <conditionalFormatting sqref="B28:G29 B32:G35 B27 D27:G27">
    <cfRule type="expression" dxfId="357" priority="377" stopIfTrue="1">
      <formula>AND($A27&lt;&gt;"COMPOSICAO",$A27&lt;&gt;"INSUMO",$A27&lt;&gt;"")</formula>
    </cfRule>
    <cfRule type="expression" dxfId="356" priority="378" stopIfTrue="1">
      <formula>AND(OR($A27="COMPOSICAO",$A27="INSUMO",$A27&lt;&gt;""),$A27&lt;&gt;"")</formula>
    </cfRule>
  </conditionalFormatting>
  <conditionalFormatting sqref="H27:H29 H32:H35">
    <cfRule type="expression" dxfId="355" priority="375" stopIfTrue="1">
      <formula>AND($A27&lt;&gt;"COMPOSICAO",$A27&lt;&gt;"INSUMO",$A27&lt;&gt;"")</formula>
    </cfRule>
    <cfRule type="expression" dxfId="354" priority="376" stopIfTrue="1">
      <formula>AND(OR($A27="COMPOSICAO",$A27="INSUMO",$A27&lt;&gt;""),$A27&lt;&gt;"")</formula>
    </cfRule>
  </conditionalFormatting>
  <conditionalFormatting sqref="B39:G45">
    <cfRule type="expression" dxfId="353" priority="373" stopIfTrue="1">
      <formula>AND($A39&lt;&gt;"COMPOSICAO",$A39&lt;&gt;"INSUMO",$A39&lt;&gt;"")</formula>
    </cfRule>
    <cfRule type="expression" dxfId="352" priority="374" stopIfTrue="1">
      <formula>AND(OR($A39="COMPOSICAO",$A39="INSUMO",$A39&lt;&gt;""),$A39&lt;&gt;"")</formula>
    </cfRule>
  </conditionalFormatting>
  <conditionalFormatting sqref="B38 D38:G38">
    <cfRule type="expression" dxfId="351" priority="371" stopIfTrue="1">
      <formula>AND($A38&lt;&gt;"COMPOSICAO",$A38&lt;&gt;"INSUMO",$A38&lt;&gt;"")</formula>
    </cfRule>
    <cfRule type="expression" dxfId="350" priority="372" stopIfTrue="1">
      <formula>AND(OR($A38="COMPOSICAO",$A38="INSUMO",$A38&lt;&gt;""),$A38&lt;&gt;"")</formula>
    </cfRule>
  </conditionalFormatting>
  <conditionalFormatting sqref="H38">
    <cfRule type="expression" dxfId="349" priority="369" stopIfTrue="1">
      <formula>AND($A38&lt;&gt;"COMPOSICAO",$A38&lt;&gt;"INSUMO",$A38&lt;&gt;"")</formula>
    </cfRule>
    <cfRule type="expression" dxfId="348" priority="370" stopIfTrue="1">
      <formula>AND(OR($A38="COMPOSICAO",$A38="INSUMO",$A38&lt;&gt;""),$A38&lt;&gt;"")</formula>
    </cfRule>
  </conditionalFormatting>
  <conditionalFormatting sqref="H39:H45">
    <cfRule type="expression" dxfId="347" priority="367" stopIfTrue="1">
      <formula>AND($A39&lt;&gt;"COMPOSICAO",$A39&lt;&gt;"INSUMO",$A39&lt;&gt;"")</formula>
    </cfRule>
    <cfRule type="expression" dxfId="346" priority="368" stopIfTrue="1">
      <formula>AND(OR($A39="COMPOSICAO",$A39="INSUMO",$A39&lt;&gt;""),$A39&lt;&gt;"")</formula>
    </cfRule>
  </conditionalFormatting>
  <conditionalFormatting sqref="B49:G49 B52:G55">
    <cfRule type="expression" dxfId="345" priority="365" stopIfTrue="1">
      <formula>AND($A49&lt;&gt;"COMPOSICAO",$A49&lt;&gt;"INSUMO",$A49&lt;&gt;"")</formula>
    </cfRule>
    <cfRule type="expression" dxfId="344" priority="366" stopIfTrue="1">
      <formula>AND(OR($A49="COMPOSICAO",$A49="INSUMO",$A49&lt;&gt;""),$A49&lt;&gt;"")</formula>
    </cfRule>
  </conditionalFormatting>
  <conditionalFormatting sqref="B48 D48:G48">
    <cfRule type="expression" dxfId="343" priority="363" stopIfTrue="1">
      <formula>AND($A48&lt;&gt;"COMPOSICAO",$A48&lt;&gt;"INSUMO",$A48&lt;&gt;"")</formula>
    </cfRule>
    <cfRule type="expression" dxfId="342" priority="364" stopIfTrue="1">
      <formula>AND(OR($A48="COMPOSICAO",$A48="INSUMO",$A48&lt;&gt;""),$A48&lt;&gt;"")</formula>
    </cfRule>
  </conditionalFormatting>
  <conditionalFormatting sqref="H48">
    <cfRule type="expression" dxfId="341" priority="361" stopIfTrue="1">
      <formula>AND($A48&lt;&gt;"COMPOSICAO",$A48&lt;&gt;"INSUMO",$A48&lt;&gt;"")</formula>
    </cfRule>
    <cfRule type="expression" dxfId="340" priority="362" stopIfTrue="1">
      <formula>AND(OR($A48="COMPOSICAO",$A48="INSUMO",$A48&lt;&gt;""),$A48&lt;&gt;"")</formula>
    </cfRule>
  </conditionalFormatting>
  <conditionalFormatting sqref="B50:G51">
    <cfRule type="expression" dxfId="339" priority="359" stopIfTrue="1">
      <formula>AND($A50&lt;&gt;"COMPOSICAO",$A50&lt;&gt;"INSUMO",$A50&lt;&gt;"")</formula>
    </cfRule>
    <cfRule type="expression" dxfId="338" priority="360" stopIfTrue="1">
      <formula>AND(OR($A50="COMPOSICAO",$A50="INSUMO",$A50&lt;&gt;""),$A50&lt;&gt;"")</formula>
    </cfRule>
  </conditionalFormatting>
  <conditionalFormatting sqref="H50:H55">
    <cfRule type="expression" dxfId="337" priority="357" stopIfTrue="1">
      <formula>AND($A50&lt;&gt;"COMPOSICAO",$A50&lt;&gt;"INSUMO",$A50&lt;&gt;"")</formula>
    </cfRule>
    <cfRule type="expression" dxfId="336" priority="358" stopIfTrue="1">
      <formula>AND(OR($A50="COMPOSICAO",$A50="INSUMO",$A50&lt;&gt;""),$A50&lt;&gt;"")</formula>
    </cfRule>
  </conditionalFormatting>
  <conditionalFormatting sqref="H49">
    <cfRule type="expression" dxfId="335" priority="355" stopIfTrue="1">
      <formula>AND($A49&lt;&gt;"COMPOSICAO",$A49&lt;&gt;"INSUMO",$A49&lt;&gt;"")</formula>
    </cfRule>
    <cfRule type="expression" dxfId="334" priority="356" stopIfTrue="1">
      <formula>AND(OR($A49="COMPOSICAO",$A49="INSUMO",$A49&lt;&gt;""),$A49&lt;&gt;"")</formula>
    </cfRule>
  </conditionalFormatting>
  <conditionalFormatting sqref="B59:G60 B63:G65">
    <cfRule type="expression" dxfId="333" priority="353" stopIfTrue="1">
      <formula>AND($A59&lt;&gt;"COMPOSICAO",$A59&lt;&gt;"INSUMO",$A59&lt;&gt;"")</formula>
    </cfRule>
    <cfRule type="expression" dxfId="332" priority="354" stopIfTrue="1">
      <formula>AND(OR($A59="COMPOSICAO",$A59="INSUMO",$A59&lt;&gt;""),$A59&lt;&gt;"")</formula>
    </cfRule>
  </conditionalFormatting>
  <conditionalFormatting sqref="B61:G62">
    <cfRule type="expression" dxfId="331" priority="351" stopIfTrue="1">
      <formula>AND($A61&lt;&gt;"COMPOSICAO",$A61&lt;&gt;"INSUMO",$A61&lt;&gt;"")</formula>
    </cfRule>
    <cfRule type="expression" dxfId="330" priority="352" stopIfTrue="1">
      <formula>AND(OR($A61="COMPOSICAO",$A61="INSUMO",$A61&lt;&gt;""),$A61&lt;&gt;"")</formula>
    </cfRule>
  </conditionalFormatting>
  <conditionalFormatting sqref="H58">
    <cfRule type="expression" dxfId="329" priority="345" stopIfTrue="1">
      <formula>AND($A58&lt;&gt;"COMPOSICAO",$A58&lt;&gt;"INSUMO",$A58&lt;&gt;"")</formula>
    </cfRule>
    <cfRule type="expression" dxfId="328" priority="346" stopIfTrue="1">
      <formula>AND(OR($A58="COMPOSICAO",$A58="INSUMO",$A58&lt;&gt;""),$A58&lt;&gt;"")</formula>
    </cfRule>
  </conditionalFormatting>
  <conditionalFormatting sqref="B58 D58:G58">
    <cfRule type="expression" dxfId="327" priority="347" stopIfTrue="1">
      <formula>AND($A58&lt;&gt;"COMPOSICAO",$A58&lt;&gt;"INSUMO",$A58&lt;&gt;"")</formula>
    </cfRule>
    <cfRule type="expression" dxfId="326" priority="348" stopIfTrue="1">
      <formula>AND(OR($A58="COMPOSICAO",$A58="INSUMO",$A58&lt;&gt;""),$A58&lt;&gt;"")</formula>
    </cfRule>
  </conditionalFormatting>
  <conditionalFormatting sqref="H6:H7">
    <cfRule type="expression" dxfId="325" priority="341" stopIfTrue="1">
      <formula>AND($A6&lt;&gt;"COMPOSICAO",$A6&lt;&gt;"INSUMO",$A6&lt;&gt;"")</formula>
    </cfRule>
    <cfRule type="expression" dxfId="324" priority="342" stopIfTrue="1">
      <formula>AND(OR($A6="COMPOSICAO",$A6="INSUMO",$A6&lt;&gt;""),$A6&lt;&gt;"")</formula>
    </cfRule>
  </conditionalFormatting>
  <conditionalFormatting sqref="B6:G7">
    <cfRule type="expression" dxfId="323" priority="343" stopIfTrue="1">
      <formula>AND($A6&lt;&gt;"COMPOSICAO",$A6&lt;&gt;"INSUMO",$A6&lt;&gt;"")</formula>
    </cfRule>
    <cfRule type="expression" dxfId="322" priority="344" stopIfTrue="1">
      <formula>AND(OR($A6="COMPOSICAO",$A6="INSUMO",$A6&lt;&gt;""),$A6&lt;&gt;"")</formula>
    </cfRule>
  </conditionalFormatting>
  <conditionalFormatting sqref="H18:H19">
    <cfRule type="expression" dxfId="321" priority="337" stopIfTrue="1">
      <formula>AND($A18&lt;&gt;"COMPOSICAO",$A18&lt;&gt;"INSUMO",$A18&lt;&gt;"")</formula>
    </cfRule>
    <cfRule type="expression" dxfId="320" priority="338" stopIfTrue="1">
      <formula>AND(OR($A18="COMPOSICAO",$A18="INSUMO",$A18&lt;&gt;""),$A18&lt;&gt;"")</formula>
    </cfRule>
  </conditionalFormatting>
  <conditionalFormatting sqref="B18:G19">
    <cfRule type="expression" dxfId="319" priority="339" stopIfTrue="1">
      <formula>AND($A18&lt;&gt;"COMPOSICAO",$A18&lt;&gt;"INSUMO",$A18&lt;&gt;"")</formula>
    </cfRule>
    <cfRule type="expression" dxfId="318" priority="340" stopIfTrue="1">
      <formula>AND(OR($A18="COMPOSICAO",$A18="INSUMO",$A18&lt;&gt;""),$A18&lt;&gt;"")</formula>
    </cfRule>
  </conditionalFormatting>
  <conditionalFormatting sqref="B30:G31">
    <cfRule type="expression" dxfId="317" priority="335" stopIfTrue="1">
      <formula>AND($A30&lt;&gt;"COMPOSICAO",$A30&lt;&gt;"INSUMO",$A30&lt;&gt;"")</formula>
    </cfRule>
    <cfRule type="expression" dxfId="316" priority="336" stopIfTrue="1">
      <formula>AND(OR($A30="COMPOSICAO",$A30="INSUMO",$A30&lt;&gt;""),$A30&lt;&gt;"")</formula>
    </cfRule>
  </conditionalFormatting>
  <conditionalFormatting sqref="H30:H31">
    <cfRule type="expression" dxfId="315" priority="333" stopIfTrue="1">
      <formula>AND($A30&lt;&gt;"COMPOSICAO",$A30&lt;&gt;"INSUMO",$A30&lt;&gt;"")</formula>
    </cfRule>
    <cfRule type="expression" dxfId="314" priority="334" stopIfTrue="1">
      <formula>AND(OR($A30="COMPOSICAO",$A30="INSUMO",$A30&lt;&gt;""),$A30&lt;&gt;"")</formula>
    </cfRule>
  </conditionalFormatting>
  <conditionalFormatting sqref="B70:F77">
    <cfRule type="expression" dxfId="313" priority="331" stopIfTrue="1">
      <formula>AND($A70&lt;&gt;"COMPOSICAO",$A70&lt;&gt;"INSUMO",$A70&lt;&gt;"")</formula>
    </cfRule>
    <cfRule type="expression" dxfId="312" priority="332" stopIfTrue="1">
      <formula>AND(OR($A70="COMPOSICAO",$A70="INSUMO",$A70&lt;&gt;""),$A70&lt;&gt;"")</formula>
    </cfRule>
  </conditionalFormatting>
  <conditionalFormatting sqref="H69">
    <cfRule type="expression" dxfId="311" priority="327" stopIfTrue="1">
      <formula>AND($A69&lt;&gt;"COMPOSICAO",$A69&lt;&gt;"INSUMO",$A69&lt;&gt;"")</formula>
    </cfRule>
    <cfRule type="expression" dxfId="310" priority="328" stopIfTrue="1">
      <formula>AND(OR($A69="COMPOSICAO",$A69="INSUMO",$A69&lt;&gt;""),$A69&lt;&gt;"")</formula>
    </cfRule>
  </conditionalFormatting>
  <conditionalFormatting sqref="B69 D69:G69">
    <cfRule type="expression" dxfId="309" priority="329" stopIfTrue="1">
      <formula>AND($A69&lt;&gt;"COMPOSICAO",$A69&lt;&gt;"INSUMO",$A69&lt;&gt;"")</formula>
    </cfRule>
    <cfRule type="expression" dxfId="308" priority="330" stopIfTrue="1">
      <formula>AND(OR($A69="COMPOSICAO",$A69="INSUMO",$A69&lt;&gt;""),$A69&lt;&gt;"")</formula>
    </cfRule>
  </conditionalFormatting>
  <conditionalFormatting sqref="B81:G83 B80 D80:G80">
    <cfRule type="expression" dxfId="307" priority="325" stopIfTrue="1">
      <formula>AND($A80&lt;&gt;"COMPOSICAO",$A80&lt;&gt;"INSUMO",$A80&lt;&gt;"")</formula>
    </cfRule>
    <cfRule type="expression" dxfId="306" priority="326" stopIfTrue="1">
      <formula>AND(OR($A80="COMPOSICAO",$A80="INSUMO",$A80&lt;&gt;""),$A80&lt;&gt;"")</formula>
    </cfRule>
  </conditionalFormatting>
  <conditionalFormatting sqref="B88:G88 B89:C89 E89:G89 B87 D87:G87">
    <cfRule type="expression" dxfId="305" priority="323" stopIfTrue="1">
      <formula>AND($A87&lt;&gt;"COMPOSICAO",$A87&lt;&gt;"INSUMO",$A87&lt;&gt;"")</formula>
    </cfRule>
    <cfRule type="expression" dxfId="304" priority="324" stopIfTrue="1">
      <formula>AND(OR($A87="COMPOSICAO",$A87="INSUMO",$A87&lt;&gt;""),$A87&lt;&gt;"")</formula>
    </cfRule>
  </conditionalFormatting>
  <conditionalFormatting sqref="D89">
    <cfRule type="expression" dxfId="303" priority="321" stopIfTrue="1">
      <formula>AND($A89&lt;&gt;"COMPOSICAO",$A89&lt;&gt;"INSUMO",$A89&lt;&gt;"")</formula>
    </cfRule>
    <cfRule type="expression" dxfId="302" priority="322" stopIfTrue="1">
      <formula>AND(OR($A89="COMPOSICAO",$A89="INSUMO",$A89&lt;&gt;""),$A89&lt;&gt;"")</formula>
    </cfRule>
  </conditionalFormatting>
  <conditionalFormatting sqref="B93 D93:G93">
    <cfRule type="expression" dxfId="301" priority="319" stopIfTrue="1">
      <formula>AND($A93&lt;&gt;"COMPOSICAO",$A93&lt;&gt;"INSUMO",$A93&lt;&gt;"")</formula>
    </cfRule>
    <cfRule type="expression" dxfId="300" priority="320" stopIfTrue="1">
      <formula>AND(OR($A93="COMPOSICAO",$A93="INSUMO",$A93&lt;&gt;""),$A93&lt;&gt;"")</formula>
    </cfRule>
  </conditionalFormatting>
  <conditionalFormatting sqref="B94:G94">
    <cfRule type="expression" dxfId="299" priority="315" stopIfTrue="1">
      <formula>AND($A94&lt;&gt;"COMPOSICAO",$A94&lt;&gt;"INSUMO",$A94&lt;&gt;"")</formula>
    </cfRule>
    <cfRule type="expression" dxfId="298" priority="316" stopIfTrue="1">
      <formula>AND(OR($A94="COMPOSICAO",$A94="INSUMO",$A94&lt;&gt;""),$A94&lt;&gt;"")</formula>
    </cfRule>
  </conditionalFormatting>
  <conditionalFormatting sqref="B95:G95">
    <cfRule type="expression" dxfId="297" priority="313" stopIfTrue="1">
      <formula>AND($A95&lt;&gt;"COMPOSICAO",$A95&lt;&gt;"INSUMO",$A95&lt;&gt;"")</formula>
    </cfRule>
    <cfRule type="expression" dxfId="296" priority="314" stopIfTrue="1">
      <formula>AND(OR($A95="COMPOSICAO",$A95="INSUMO",$A95&lt;&gt;""),$A95&lt;&gt;"")</formula>
    </cfRule>
  </conditionalFormatting>
  <conditionalFormatting sqref="B99:G102 B98 D98:G98">
    <cfRule type="expression" dxfId="295" priority="311" stopIfTrue="1">
      <formula>AND($A98&lt;&gt;"COMPOSICAO",$A98&lt;&gt;"INSUMO",$A98&lt;&gt;"")</formula>
    </cfRule>
    <cfRule type="expression" dxfId="294" priority="312" stopIfTrue="1">
      <formula>AND(OR($A98="COMPOSICAO",$A98="INSUMO",$A98&lt;&gt;""),$A98&lt;&gt;"")</formula>
    </cfRule>
  </conditionalFormatting>
  <conditionalFormatting sqref="B107:G110 B106 D106:G106">
    <cfRule type="expression" dxfId="293" priority="309" stopIfTrue="1">
      <formula>AND($A106&lt;&gt;"COMPOSICAO",$A106&lt;&gt;"INSUMO",$A106&lt;&gt;"")</formula>
    </cfRule>
    <cfRule type="expression" dxfId="292" priority="310" stopIfTrue="1">
      <formula>AND(OR($A106="COMPOSICAO",$A106="INSUMO",$A106&lt;&gt;""),$A106&lt;&gt;"")</formula>
    </cfRule>
  </conditionalFormatting>
  <conditionalFormatting sqref="B114:G120">
    <cfRule type="expression" dxfId="291" priority="307" stopIfTrue="1">
      <formula>AND($A114&lt;&gt;"COMPOSICAO",$A114&lt;&gt;"INSUMO",$A114&lt;&gt;"")</formula>
    </cfRule>
    <cfRule type="expression" dxfId="290" priority="308" stopIfTrue="1">
      <formula>AND(OR($A114="COMPOSICAO",$A114="INSUMO",$A114&lt;&gt;""),$A114&lt;&gt;"")</formula>
    </cfRule>
  </conditionalFormatting>
  <conditionalFormatting sqref="B113 D113:G113">
    <cfRule type="expression" dxfId="289" priority="305" stopIfTrue="1">
      <formula>AND($A113&lt;&gt;"COMPOSICAO",$A113&lt;&gt;"INSUMO",$A113&lt;&gt;"")</formula>
    </cfRule>
    <cfRule type="expression" dxfId="288" priority="306" stopIfTrue="1">
      <formula>AND(OR($A113="COMPOSICAO",$A113="INSUMO",$A113&lt;&gt;""),$A113&lt;&gt;"")</formula>
    </cfRule>
  </conditionalFormatting>
  <conditionalFormatting sqref="B125 D125:G125">
    <cfRule type="expression" dxfId="287" priority="303" stopIfTrue="1">
      <formula>AND($A125&lt;&gt;"COMPOSICAO",$A125&lt;&gt;"INSUMO",$A125&lt;&gt;"")</formula>
    </cfRule>
    <cfRule type="expression" dxfId="286" priority="304" stopIfTrue="1">
      <formula>AND(OR($A125="COMPOSICAO",$A125="INSUMO",$A125&lt;&gt;""),$A125&lt;&gt;"")</formula>
    </cfRule>
  </conditionalFormatting>
  <conditionalFormatting sqref="B133:G133">
    <cfRule type="expression" dxfId="285" priority="299" stopIfTrue="1">
      <formula>AND($A133&lt;&gt;"COMPOSICAO",$A133&lt;&gt;"INSUMO",$A133&lt;&gt;"")</formula>
    </cfRule>
    <cfRule type="expression" dxfId="284" priority="300" stopIfTrue="1">
      <formula>AND(OR($A133="COMPOSICAO",$A133="INSUMO",$A133&lt;&gt;""),$A133&lt;&gt;"")</formula>
    </cfRule>
  </conditionalFormatting>
  <conditionalFormatting sqref="B134:G134">
    <cfRule type="expression" dxfId="283" priority="297" stopIfTrue="1">
      <formula>AND($A134&lt;&gt;"COMPOSICAO",$A134&lt;&gt;"INSUMO",$A134&lt;&gt;"")</formula>
    </cfRule>
    <cfRule type="expression" dxfId="282" priority="298" stopIfTrue="1">
      <formula>AND(OR($A134="COMPOSICAO",$A134="INSUMO",$A134&lt;&gt;""),$A134&lt;&gt;"")</formula>
    </cfRule>
  </conditionalFormatting>
  <conditionalFormatting sqref="B137 D137:G137">
    <cfRule type="expression" dxfId="281" priority="295" stopIfTrue="1">
      <formula>AND($A137&lt;&gt;"COMPOSICAO",$A137&lt;&gt;"INSUMO",$A137&lt;&gt;"")</formula>
    </cfRule>
    <cfRule type="expression" dxfId="280" priority="296" stopIfTrue="1">
      <formula>AND(OR($A137="COMPOSICAO",$A137="INSUMO",$A137&lt;&gt;""),$A137&lt;&gt;"")</formula>
    </cfRule>
  </conditionalFormatting>
  <conditionalFormatting sqref="B138:G138">
    <cfRule type="expression" dxfId="279" priority="293" stopIfTrue="1">
      <formula>AND($A138&lt;&gt;"COMPOSICAO",$A138&lt;&gt;"INSUMO",$A138&lt;&gt;"")</formula>
    </cfRule>
    <cfRule type="expression" dxfId="278" priority="294" stopIfTrue="1">
      <formula>AND(OR($A138="COMPOSICAO",$A138="INSUMO",$A138&lt;&gt;""),$A138&lt;&gt;"")</formula>
    </cfRule>
  </conditionalFormatting>
  <conditionalFormatting sqref="B139:G139">
    <cfRule type="expression" dxfId="277" priority="291" stopIfTrue="1">
      <formula>AND($A139&lt;&gt;"COMPOSICAO",$A139&lt;&gt;"INSUMO",$A139&lt;&gt;"")</formula>
    </cfRule>
    <cfRule type="expression" dxfId="276" priority="292" stopIfTrue="1">
      <formula>AND(OR($A139="COMPOSICAO",$A139="INSUMO",$A139&lt;&gt;""),$A139&lt;&gt;"")</formula>
    </cfRule>
  </conditionalFormatting>
  <conditionalFormatting sqref="B140:G140">
    <cfRule type="expression" dxfId="275" priority="289" stopIfTrue="1">
      <formula>AND($A140&lt;&gt;"COMPOSICAO",$A140&lt;&gt;"INSUMO",$A140&lt;&gt;"")</formula>
    </cfRule>
    <cfRule type="expression" dxfId="274" priority="290" stopIfTrue="1">
      <formula>AND(OR($A140="COMPOSICAO",$A140="INSUMO",$A140&lt;&gt;""),$A140&lt;&gt;"")</formula>
    </cfRule>
  </conditionalFormatting>
  <conditionalFormatting sqref="B126:F126">
    <cfRule type="expression" dxfId="273" priority="287" stopIfTrue="1">
      <formula>AND($A126&lt;&gt;"COMPOSICAO",$A126&lt;&gt;"INSUMO",$A126&lt;&gt;"")</formula>
    </cfRule>
    <cfRule type="expression" dxfId="272" priority="288" stopIfTrue="1">
      <formula>AND(OR($A126="COMPOSICAO",$A126="INSUMO",$A126&lt;&gt;""),$A126&lt;&gt;"")</formula>
    </cfRule>
  </conditionalFormatting>
  <conditionalFormatting sqref="B127:F131">
    <cfRule type="expression" dxfId="271" priority="285" stopIfTrue="1">
      <formula>AND($A127&lt;&gt;"COMPOSICAO",$A127&lt;&gt;"INSUMO",$A127&lt;&gt;"")</formula>
    </cfRule>
    <cfRule type="expression" dxfId="270" priority="286" stopIfTrue="1">
      <formula>AND(OR($A127="COMPOSICAO",$A127="INSUMO",$A127&lt;&gt;""),$A127&lt;&gt;"")</formula>
    </cfRule>
  </conditionalFormatting>
  <conditionalFormatting sqref="B143 D143:G143">
    <cfRule type="expression" dxfId="269" priority="283" stopIfTrue="1">
      <formula>AND($A143&lt;&gt;"COMPOSICAO",$A143&lt;&gt;"INSUMO",$A143&lt;&gt;"")</formula>
    </cfRule>
    <cfRule type="expression" dxfId="268" priority="284" stopIfTrue="1">
      <formula>AND(OR($A143="COMPOSICAO",$A143="INSUMO",$A143&lt;&gt;""),$A143&lt;&gt;"")</formula>
    </cfRule>
  </conditionalFormatting>
  <conditionalFormatting sqref="B144:G144">
    <cfRule type="expression" dxfId="267" priority="281" stopIfTrue="1">
      <formula>AND($A144&lt;&gt;"COMPOSICAO",$A144&lt;&gt;"INSUMO",$A144&lt;&gt;"")</formula>
    </cfRule>
    <cfRule type="expression" dxfId="266" priority="282" stopIfTrue="1">
      <formula>AND(OR($A144="COMPOSICAO",$A144="INSUMO",$A144&lt;&gt;""),$A144&lt;&gt;"")</formula>
    </cfRule>
  </conditionalFormatting>
  <conditionalFormatting sqref="B145:G145">
    <cfRule type="expression" dxfId="265" priority="277" stopIfTrue="1">
      <formula>AND($A145&lt;&gt;"COMPOSICAO",$A145&lt;&gt;"INSUMO",$A145&lt;&gt;"")</formula>
    </cfRule>
    <cfRule type="expression" dxfId="264" priority="278" stopIfTrue="1">
      <formula>AND(OR($A145="COMPOSICAO",$A145="INSUMO",$A145&lt;&gt;""),$A145&lt;&gt;"")</formula>
    </cfRule>
  </conditionalFormatting>
  <conditionalFormatting sqref="B150:G163 B149 D149:G149">
    <cfRule type="expression" dxfId="263" priority="275" stopIfTrue="1">
      <formula>AND($A149&lt;&gt;"COMPOSICAO",$A149&lt;&gt;"INSUMO",$A149&lt;&gt;"")</formula>
    </cfRule>
    <cfRule type="expression" dxfId="262" priority="276" stopIfTrue="1">
      <formula>AND(OR($A149="COMPOSICAO",$A149="INSUMO",$A149&lt;&gt;""),$A149&lt;&gt;"")</formula>
    </cfRule>
  </conditionalFormatting>
  <conditionalFormatting sqref="B149 D149:G149">
    <cfRule type="expression" dxfId="261" priority="273" stopIfTrue="1">
      <formula>AND($A149&lt;&gt;"COMPOSICAO",$A149&lt;&gt;"INSUMO",$A149&lt;&gt;"")</formula>
    </cfRule>
    <cfRule type="expression" dxfId="260" priority="274" stopIfTrue="1">
      <formula>AND(OR($A149="COMPOSICAO",$A149="INSUMO",$A149&lt;&gt;""),$A149&lt;&gt;"")</formula>
    </cfRule>
  </conditionalFormatting>
  <conditionalFormatting sqref="B176:G176">
    <cfRule type="expression" dxfId="259" priority="253" stopIfTrue="1">
      <formula>AND($A176&lt;&gt;"COMPOSICAO",$A176&lt;&gt;"INSUMO",$A176&lt;&gt;"")</formula>
    </cfRule>
    <cfRule type="expression" dxfId="258" priority="254" stopIfTrue="1">
      <formula>AND(OR($A176="COMPOSICAO",$A176="INSUMO",$A176&lt;&gt;""),$A176&lt;&gt;"")</formula>
    </cfRule>
  </conditionalFormatting>
  <conditionalFormatting sqref="C168:G172">
    <cfRule type="expression" dxfId="257" priority="271" stopIfTrue="1">
      <formula>AND($A168&lt;&gt;"COMPOSICAO",$A168&lt;&gt;"INSUMO",$A168&lt;&gt;"")</formula>
    </cfRule>
    <cfRule type="expression" dxfId="256" priority="272" stopIfTrue="1">
      <formula>AND(OR($A168="COMPOSICAO",$A168="INSUMO",$A168&lt;&gt;""),$A168&lt;&gt;"")</formula>
    </cfRule>
  </conditionalFormatting>
  <conditionalFormatting sqref="B168:B173">
    <cfRule type="expression" dxfId="255" priority="269" stopIfTrue="1">
      <formula>AND($A168&lt;&gt;"COMPOSICAO",$A168&lt;&gt;"INSUMO",$A168&lt;&gt;"")</formula>
    </cfRule>
    <cfRule type="expression" dxfId="254" priority="270" stopIfTrue="1">
      <formula>AND(OR($A168="COMPOSICAO",$A168="INSUMO",$A168&lt;&gt;""),$A168&lt;&gt;"")</formula>
    </cfRule>
  </conditionalFormatting>
  <conditionalFormatting sqref="B177:F183">
    <cfRule type="expression" dxfId="253" priority="257" stopIfTrue="1">
      <formula>AND($A177&lt;&gt;"COMPOSICAO",$A177&lt;&gt;"INSUMO",$A177&lt;&gt;"")</formula>
    </cfRule>
    <cfRule type="expression" dxfId="252" priority="258" stopIfTrue="1">
      <formula>AND(OR($A177="COMPOSICAO",$A177="INSUMO",$A177&lt;&gt;""),$A177&lt;&gt;"")</formula>
    </cfRule>
  </conditionalFormatting>
  <conditionalFormatting sqref="B176:G176">
    <cfRule type="expression" dxfId="251" priority="255" stopIfTrue="1">
      <formula>AND($A176&lt;&gt;"COMPOSICAO",$A176&lt;&gt;"INSUMO",$A176&lt;&gt;"")</formula>
    </cfRule>
    <cfRule type="expression" dxfId="250" priority="256" stopIfTrue="1">
      <formula>AND(OR($A176="COMPOSICAO",$A176="INSUMO",$A176&lt;&gt;""),$A176&lt;&gt;"")</formula>
    </cfRule>
  </conditionalFormatting>
  <conditionalFormatting sqref="B167 D167:G167">
    <cfRule type="expression" dxfId="249" priority="261" stopIfTrue="1">
      <formula>AND($A167&lt;&gt;"COMPOSICAO",$A167&lt;&gt;"INSUMO",$A167&lt;&gt;"")</formula>
    </cfRule>
    <cfRule type="expression" dxfId="248" priority="262" stopIfTrue="1">
      <formula>AND(OR($A167="COMPOSICAO",$A167="INSUMO",$A167&lt;&gt;""),$A167&lt;&gt;"")</formula>
    </cfRule>
  </conditionalFormatting>
  <conditionalFormatting sqref="B167 D167:G167">
    <cfRule type="expression" dxfId="247" priority="259" stopIfTrue="1">
      <formula>AND($A167&lt;&gt;"COMPOSICAO",$A167&lt;&gt;"INSUMO",$A167&lt;&gt;"")</formula>
    </cfRule>
    <cfRule type="expression" dxfId="246" priority="260" stopIfTrue="1">
      <formula>AND(OR($A167="COMPOSICAO",$A167="INSUMO",$A167&lt;&gt;""),$A167&lt;&gt;"")</formula>
    </cfRule>
  </conditionalFormatting>
  <conditionalFormatting sqref="D187:G187">
    <cfRule type="expression" dxfId="245" priority="247" stopIfTrue="1">
      <formula>AND($A187&lt;&gt;"COMPOSICAO",$A187&lt;&gt;"INSUMO",$A187&lt;&gt;"")</formula>
    </cfRule>
    <cfRule type="expression" dxfId="244" priority="248" stopIfTrue="1">
      <formula>AND(OR($A187="COMPOSICAO",$A187="INSUMO",$A187&lt;&gt;""),$A187&lt;&gt;"")</formula>
    </cfRule>
  </conditionalFormatting>
  <conditionalFormatting sqref="C188:F194">
    <cfRule type="expression" dxfId="243" priority="251" stopIfTrue="1">
      <formula>AND($A188&lt;&gt;"COMPOSICAO",$A188&lt;&gt;"INSUMO",$A188&lt;&gt;"")</formula>
    </cfRule>
    <cfRule type="expression" dxfId="242" priority="252" stopIfTrue="1">
      <formula>AND(OR($A188="COMPOSICAO",$A188="INSUMO",$A188&lt;&gt;""),$A188&lt;&gt;"")</formula>
    </cfRule>
  </conditionalFormatting>
  <conditionalFormatting sqref="D187:G187">
    <cfRule type="expression" dxfId="241" priority="249" stopIfTrue="1">
      <formula>AND($A187&lt;&gt;"COMPOSICAO",$A187&lt;&gt;"INSUMO",$A187&lt;&gt;"")</formula>
    </cfRule>
    <cfRule type="expression" dxfId="240" priority="250" stopIfTrue="1">
      <formula>AND(OR($A187="COMPOSICAO",$A187="INSUMO",$A187&lt;&gt;""),$A187&lt;&gt;"")</formula>
    </cfRule>
  </conditionalFormatting>
  <conditionalFormatting sqref="C187">
    <cfRule type="expression" dxfId="239" priority="243" stopIfTrue="1">
      <formula>AND($A187&lt;&gt;"COMPOSICAO",$A187&lt;&gt;"INSUMO",$A187&lt;&gt;"")</formula>
    </cfRule>
    <cfRule type="expression" dxfId="238" priority="244" stopIfTrue="1">
      <formula>AND(OR($A187="COMPOSICAO",$A187="INSUMO",$A187&lt;&gt;""),$A187&lt;&gt;"")</formula>
    </cfRule>
  </conditionalFormatting>
  <conditionalFormatting sqref="C187">
    <cfRule type="expression" dxfId="237" priority="245" stopIfTrue="1">
      <formula>AND($A187&lt;&gt;"COMPOSICAO",$A187&lt;&gt;"INSUMO",$A187&lt;&gt;"")</formula>
    </cfRule>
    <cfRule type="expression" dxfId="236" priority="246" stopIfTrue="1">
      <formula>AND(OR($A187="COMPOSICAO",$A187="INSUMO",$A187&lt;&gt;""),$A187&lt;&gt;"")</formula>
    </cfRule>
  </conditionalFormatting>
  <conditionalFormatting sqref="C167">
    <cfRule type="expression" dxfId="235" priority="239" stopIfTrue="1">
      <formula>AND($A167&lt;&gt;"COMPOSICAO",$A167&lt;&gt;"INSUMO",$A167&lt;&gt;"")</formula>
    </cfRule>
    <cfRule type="expression" dxfId="234" priority="240" stopIfTrue="1">
      <formula>AND(OR($A167="COMPOSICAO",$A167="INSUMO",$A167&lt;&gt;""),$A167&lt;&gt;"")</formula>
    </cfRule>
  </conditionalFormatting>
  <conditionalFormatting sqref="C167">
    <cfRule type="expression" dxfId="233" priority="241" stopIfTrue="1">
      <formula>AND($A167&lt;&gt;"COMPOSICAO",$A167&lt;&gt;"INSUMO",$A167&lt;&gt;"")</formula>
    </cfRule>
    <cfRule type="expression" dxfId="232" priority="242" stopIfTrue="1">
      <formula>AND(OR($A167="COMPOSICAO",$A167="INSUMO",$A167&lt;&gt;""),$A167&lt;&gt;"")</formula>
    </cfRule>
  </conditionalFormatting>
  <conditionalFormatting sqref="C149">
    <cfRule type="expression" dxfId="231" priority="235" stopIfTrue="1">
      <formula>AND($A149&lt;&gt;"COMPOSICAO",$A149&lt;&gt;"INSUMO",$A149&lt;&gt;"")</formula>
    </cfRule>
    <cfRule type="expression" dxfId="230" priority="236" stopIfTrue="1">
      <formula>AND(OR($A149="COMPOSICAO",$A149="INSUMO",$A149&lt;&gt;""),$A149&lt;&gt;"")</formula>
    </cfRule>
  </conditionalFormatting>
  <conditionalFormatting sqref="C149">
    <cfRule type="expression" dxfId="229" priority="237" stopIfTrue="1">
      <formula>AND($A149&lt;&gt;"COMPOSICAO",$A149&lt;&gt;"INSUMO",$A149&lt;&gt;"")</formula>
    </cfRule>
    <cfRule type="expression" dxfId="228" priority="238" stopIfTrue="1">
      <formula>AND(OR($A149="COMPOSICAO",$A149="INSUMO",$A149&lt;&gt;""),$A149&lt;&gt;"")</formula>
    </cfRule>
  </conditionalFormatting>
  <conditionalFormatting sqref="C143">
    <cfRule type="expression" dxfId="227" priority="231" stopIfTrue="1">
      <formula>AND($A143&lt;&gt;"COMPOSICAO",$A143&lt;&gt;"INSUMO",$A143&lt;&gt;"")</formula>
    </cfRule>
    <cfRule type="expression" dxfId="226" priority="232" stopIfTrue="1">
      <formula>AND(OR($A143="COMPOSICAO",$A143="INSUMO",$A143&lt;&gt;""),$A143&lt;&gt;"")</formula>
    </cfRule>
  </conditionalFormatting>
  <conditionalFormatting sqref="C143">
    <cfRule type="expression" dxfId="225" priority="233" stopIfTrue="1">
      <formula>AND($A143&lt;&gt;"COMPOSICAO",$A143&lt;&gt;"INSUMO",$A143&lt;&gt;"")</formula>
    </cfRule>
    <cfRule type="expression" dxfId="224" priority="234" stopIfTrue="1">
      <formula>AND(OR($A143="COMPOSICAO",$A143="INSUMO",$A143&lt;&gt;""),$A143&lt;&gt;"")</formula>
    </cfRule>
  </conditionalFormatting>
  <conditionalFormatting sqref="C137">
    <cfRule type="expression" dxfId="223" priority="227" stopIfTrue="1">
      <formula>AND($A137&lt;&gt;"COMPOSICAO",$A137&lt;&gt;"INSUMO",$A137&lt;&gt;"")</formula>
    </cfRule>
    <cfRule type="expression" dxfId="222" priority="228" stopIfTrue="1">
      <formula>AND(OR($A137="COMPOSICAO",$A137="INSUMO",$A137&lt;&gt;""),$A137&lt;&gt;"")</formula>
    </cfRule>
  </conditionalFormatting>
  <conditionalFormatting sqref="C137">
    <cfRule type="expression" dxfId="221" priority="229" stopIfTrue="1">
      <formula>AND($A137&lt;&gt;"COMPOSICAO",$A137&lt;&gt;"INSUMO",$A137&lt;&gt;"")</formula>
    </cfRule>
    <cfRule type="expression" dxfId="220" priority="230" stopIfTrue="1">
      <formula>AND(OR($A137="COMPOSICAO",$A137="INSUMO",$A137&lt;&gt;""),$A137&lt;&gt;"")</formula>
    </cfRule>
  </conditionalFormatting>
  <conditionalFormatting sqref="C125">
    <cfRule type="expression" dxfId="219" priority="223" stopIfTrue="1">
      <formula>AND($A125&lt;&gt;"COMPOSICAO",$A125&lt;&gt;"INSUMO",$A125&lt;&gt;"")</formula>
    </cfRule>
    <cfRule type="expression" dxfId="218" priority="224" stopIfTrue="1">
      <formula>AND(OR($A125="COMPOSICAO",$A125="INSUMO",$A125&lt;&gt;""),$A125&lt;&gt;"")</formula>
    </cfRule>
  </conditionalFormatting>
  <conditionalFormatting sqref="C125">
    <cfRule type="expression" dxfId="217" priority="225" stopIfTrue="1">
      <formula>AND($A125&lt;&gt;"COMPOSICAO",$A125&lt;&gt;"INSUMO",$A125&lt;&gt;"")</formula>
    </cfRule>
    <cfRule type="expression" dxfId="216" priority="226" stopIfTrue="1">
      <formula>AND(OR($A125="COMPOSICAO",$A125="INSUMO",$A125&lt;&gt;""),$A125&lt;&gt;"")</formula>
    </cfRule>
  </conditionalFormatting>
  <conditionalFormatting sqref="C113">
    <cfRule type="expression" dxfId="215" priority="219" stopIfTrue="1">
      <formula>AND($A113&lt;&gt;"COMPOSICAO",$A113&lt;&gt;"INSUMO",$A113&lt;&gt;"")</formula>
    </cfRule>
    <cfRule type="expression" dxfId="214" priority="220" stopIfTrue="1">
      <formula>AND(OR($A113="COMPOSICAO",$A113="INSUMO",$A113&lt;&gt;""),$A113&lt;&gt;"")</formula>
    </cfRule>
  </conditionalFormatting>
  <conditionalFormatting sqref="C113">
    <cfRule type="expression" dxfId="213" priority="221" stopIfTrue="1">
      <formula>AND($A113&lt;&gt;"COMPOSICAO",$A113&lt;&gt;"INSUMO",$A113&lt;&gt;"")</formula>
    </cfRule>
    <cfRule type="expression" dxfId="212" priority="222" stopIfTrue="1">
      <formula>AND(OR($A113="COMPOSICAO",$A113="INSUMO",$A113&lt;&gt;""),$A113&lt;&gt;"")</formula>
    </cfRule>
  </conditionalFormatting>
  <conditionalFormatting sqref="C106">
    <cfRule type="expression" dxfId="211" priority="215" stopIfTrue="1">
      <formula>AND($A106&lt;&gt;"COMPOSICAO",$A106&lt;&gt;"INSUMO",$A106&lt;&gt;"")</formula>
    </cfRule>
    <cfRule type="expression" dxfId="210" priority="216" stopIfTrue="1">
      <formula>AND(OR($A106="COMPOSICAO",$A106="INSUMO",$A106&lt;&gt;""),$A106&lt;&gt;"")</formula>
    </cfRule>
  </conditionalFormatting>
  <conditionalFormatting sqref="C106">
    <cfRule type="expression" dxfId="209" priority="217" stopIfTrue="1">
      <formula>AND($A106&lt;&gt;"COMPOSICAO",$A106&lt;&gt;"INSUMO",$A106&lt;&gt;"")</formula>
    </cfRule>
    <cfRule type="expression" dxfId="208" priority="218" stopIfTrue="1">
      <formula>AND(OR($A106="COMPOSICAO",$A106="INSUMO",$A106&lt;&gt;""),$A106&lt;&gt;"")</formula>
    </cfRule>
  </conditionalFormatting>
  <conditionalFormatting sqref="C98">
    <cfRule type="expression" dxfId="207" priority="211" stopIfTrue="1">
      <formula>AND($A98&lt;&gt;"COMPOSICAO",$A98&lt;&gt;"INSUMO",$A98&lt;&gt;"")</formula>
    </cfRule>
    <cfRule type="expression" dxfId="206" priority="212" stopIfTrue="1">
      <formula>AND(OR($A98="COMPOSICAO",$A98="INSUMO",$A98&lt;&gt;""),$A98&lt;&gt;"")</formula>
    </cfRule>
  </conditionalFormatting>
  <conditionalFormatting sqref="C98">
    <cfRule type="expression" dxfId="205" priority="213" stopIfTrue="1">
      <formula>AND($A98&lt;&gt;"COMPOSICAO",$A98&lt;&gt;"INSUMO",$A98&lt;&gt;"")</formula>
    </cfRule>
    <cfRule type="expression" dxfId="204" priority="214" stopIfTrue="1">
      <formula>AND(OR($A98="COMPOSICAO",$A98="INSUMO",$A98&lt;&gt;""),$A98&lt;&gt;"")</formula>
    </cfRule>
  </conditionalFormatting>
  <conditionalFormatting sqref="C93">
    <cfRule type="expression" dxfId="203" priority="207" stopIfTrue="1">
      <formula>AND($A93&lt;&gt;"COMPOSICAO",$A93&lt;&gt;"INSUMO",$A93&lt;&gt;"")</formula>
    </cfRule>
    <cfRule type="expression" dxfId="202" priority="208" stopIfTrue="1">
      <formula>AND(OR($A93="COMPOSICAO",$A93="INSUMO",$A93&lt;&gt;""),$A93&lt;&gt;"")</formula>
    </cfRule>
  </conditionalFormatting>
  <conditionalFormatting sqref="C93">
    <cfRule type="expression" dxfId="201" priority="209" stopIfTrue="1">
      <formula>AND($A93&lt;&gt;"COMPOSICAO",$A93&lt;&gt;"INSUMO",$A93&lt;&gt;"")</formula>
    </cfRule>
    <cfRule type="expression" dxfId="200" priority="210" stopIfTrue="1">
      <formula>AND(OR($A93="COMPOSICAO",$A93="INSUMO",$A93&lt;&gt;""),$A93&lt;&gt;"")</formula>
    </cfRule>
  </conditionalFormatting>
  <conditionalFormatting sqref="C87">
    <cfRule type="expression" dxfId="199" priority="203" stopIfTrue="1">
      <formula>AND($A87&lt;&gt;"COMPOSICAO",$A87&lt;&gt;"INSUMO",$A87&lt;&gt;"")</formula>
    </cfRule>
    <cfRule type="expression" dxfId="198" priority="204" stopIfTrue="1">
      <formula>AND(OR($A87="COMPOSICAO",$A87="INSUMO",$A87&lt;&gt;""),$A87&lt;&gt;"")</formula>
    </cfRule>
  </conditionalFormatting>
  <conditionalFormatting sqref="C87">
    <cfRule type="expression" dxfId="197" priority="205" stopIfTrue="1">
      <formula>AND($A87&lt;&gt;"COMPOSICAO",$A87&lt;&gt;"INSUMO",$A87&lt;&gt;"")</formula>
    </cfRule>
    <cfRule type="expression" dxfId="196" priority="206" stopIfTrue="1">
      <formula>AND(OR($A87="COMPOSICAO",$A87="INSUMO",$A87&lt;&gt;""),$A87&lt;&gt;"")</formula>
    </cfRule>
  </conditionalFormatting>
  <conditionalFormatting sqref="C80">
    <cfRule type="expression" dxfId="195" priority="199" stopIfTrue="1">
      <formula>AND($A80&lt;&gt;"COMPOSICAO",$A80&lt;&gt;"INSUMO",$A80&lt;&gt;"")</formula>
    </cfRule>
    <cfRule type="expression" dxfId="194" priority="200" stopIfTrue="1">
      <formula>AND(OR($A80="COMPOSICAO",$A80="INSUMO",$A80&lt;&gt;""),$A80&lt;&gt;"")</formula>
    </cfRule>
  </conditionalFormatting>
  <conditionalFormatting sqref="C80">
    <cfRule type="expression" dxfId="193" priority="201" stopIfTrue="1">
      <formula>AND($A80&lt;&gt;"COMPOSICAO",$A80&lt;&gt;"INSUMO",$A80&lt;&gt;"")</formula>
    </cfRule>
    <cfRule type="expression" dxfId="192" priority="202" stopIfTrue="1">
      <formula>AND(OR($A80="COMPOSICAO",$A80="INSUMO",$A80&lt;&gt;""),$A80&lt;&gt;"")</formula>
    </cfRule>
  </conditionalFormatting>
  <conditionalFormatting sqref="C69">
    <cfRule type="expression" dxfId="191" priority="195" stopIfTrue="1">
      <formula>AND($A69&lt;&gt;"COMPOSICAO",$A69&lt;&gt;"INSUMO",$A69&lt;&gt;"")</formula>
    </cfRule>
    <cfRule type="expression" dxfId="190" priority="196" stopIfTrue="1">
      <formula>AND(OR($A69="COMPOSICAO",$A69="INSUMO",$A69&lt;&gt;""),$A69&lt;&gt;"")</formula>
    </cfRule>
  </conditionalFormatting>
  <conditionalFormatting sqref="C69">
    <cfRule type="expression" dxfId="189" priority="197" stopIfTrue="1">
      <formula>AND($A69&lt;&gt;"COMPOSICAO",$A69&lt;&gt;"INSUMO",$A69&lt;&gt;"")</formula>
    </cfRule>
    <cfRule type="expression" dxfId="188" priority="198" stopIfTrue="1">
      <formula>AND(OR($A69="COMPOSICAO",$A69="INSUMO",$A69&lt;&gt;""),$A69&lt;&gt;"")</formula>
    </cfRule>
  </conditionalFormatting>
  <conditionalFormatting sqref="C58">
    <cfRule type="expression" dxfId="187" priority="191" stopIfTrue="1">
      <formula>AND($A58&lt;&gt;"COMPOSICAO",$A58&lt;&gt;"INSUMO",$A58&lt;&gt;"")</formula>
    </cfRule>
    <cfRule type="expression" dxfId="186" priority="192" stopIfTrue="1">
      <formula>AND(OR($A58="COMPOSICAO",$A58="INSUMO",$A58&lt;&gt;""),$A58&lt;&gt;"")</formula>
    </cfRule>
  </conditionalFormatting>
  <conditionalFormatting sqref="C58">
    <cfRule type="expression" dxfId="185" priority="193" stopIfTrue="1">
      <formula>AND($A58&lt;&gt;"COMPOSICAO",$A58&lt;&gt;"INSUMO",$A58&lt;&gt;"")</formula>
    </cfRule>
    <cfRule type="expression" dxfId="184" priority="194" stopIfTrue="1">
      <formula>AND(OR($A58="COMPOSICAO",$A58="INSUMO",$A58&lt;&gt;""),$A58&lt;&gt;"")</formula>
    </cfRule>
  </conditionalFormatting>
  <conditionalFormatting sqref="C48">
    <cfRule type="expression" dxfId="183" priority="187" stopIfTrue="1">
      <formula>AND($A48&lt;&gt;"COMPOSICAO",$A48&lt;&gt;"INSUMO",$A48&lt;&gt;"")</formula>
    </cfRule>
    <cfRule type="expression" dxfId="182" priority="188" stopIfTrue="1">
      <formula>AND(OR($A48="COMPOSICAO",$A48="INSUMO",$A48&lt;&gt;""),$A48&lt;&gt;"")</formula>
    </cfRule>
  </conditionalFormatting>
  <conditionalFormatting sqref="C48">
    <cfRule type="expression" dxfId="181" priority="189" stopIfTrue="1">
      <formula>AND($A48&lt;&gt;"COMPOSICAO",$A48&lt;&gt;"INSUMO",$A48&lt;&gt;"")</formula>
    </cfRule>
    <cfRule type="expression" dxfId="180" priority="190" stopIfTrue="1">
      <formula>AND(OR($A48="COMPOSICAO",$A48="INSUMO",$A48&lt;&gt;""),$A48&lt;&gt;"")</formula>
    </cfRule>
  </conditionalFormatting>
  <conditionalFormatting sqref="C38">
    <cfRule type="expression" dxfId="179" priority="183" stopIfTrue="1">
      <formula>AND($A38&lt;&gt;"COMPOSICAO",$A38&lt;&gt;"INSUMO",$A38&lt;&gt;"")</formula>
    </cfRule>
    <cfRule type="expression" dxfId="178" priority="184" stopIfTrue="1">
      <formula>AND(OR($A38="COMPOSICAO",$A38="INSUMO",$A38&lt;&gt;""),$A38&lt;&gt;"")</formula>
    </cfRule>
  </conditionalFormatting>
  <conditionalFormatting sqref="C38">
    <cfRule type="expression" dxfId="177" priority="185" stopIfTrue="1">
      <formula>AND($A38&lt;&gt;"COMPOSICAO",$A38&lt;&gt;"INSUMO",$A38&lt;&gt;"")</formula>
    </cfRule>
    <cfRule type="expression" dxfId="176" priority="186" stopIfTrue="1">
      <formula>AND(OR($A38="COMPOSICAO",$A38="INSUMO",$A38&lt;&gt;""),$A38&lt;&gt;"")</formula>
    </cfRule>
  </conditionalFormatting>
  <conditionalFormatting sqref="C27">
    <cfRule type="expression" dxfId="175" priority="179" stopIfTrue="1">
      <formula>AND($A27&lt;&gt;"COMPOSICAO",$A27&lt;&gt;"INSUMO",$A27&lt;&gt;"")</formula>
    </cfRule>
    <cfRule type="expression" dxfId="174" priority="180" stopIfTrue="1">
      <formula>AND(OR($A27="COMPOSICAO",$A27="INSUMO",$A27&lt;&gt;""),$A27&lt;&gt;"")</formula>
    </cfRule>
  </conditionalFormatting>
  <conditionalFormatting sqref="C27">
    <cfRule type="expression" dxfId="173" priority="181" stopIfTrue="1">
      <formula>AND($A27&lt;&gt;"COMPOSICAO",$A27&lt;&gt;"INSUMO",$A27&lt;&gt;"")</formula>
    </cfRule>
    <cfRule type="expression" dxfId="172" priority="182" stopIfTrue="1">
      <formula>AND(OR($A27="COMPOSICAO",$A27="INSUMO",$A27&lt;&gt;""),$A27&lt;&gt;"")</formula>
    </cfRule>
  </conditionalFormatting>
  <conditionalFormatting sqref="C15">
    <cfRule type="expression" dxfId="171" priority="175" stopIfTrue="1">
      <formula>AND($A15&lt;&gt;"COMPOSICAO",$A15&lt;&gt;"INSUMO",$A15&lt;&gt;"")</formula>
    </cfRule>
    <cfRule type="expression" dxfId="170" priority="176" stopIfTrue="1">
      <formula>AND(OR($A15="COMPOSICAO",$A15="INSUMO",$A15&lt;&gt;""),$A15&lt;&gt;"")</formula>
    </cfRule>
  </conditionalFormatting>
  <conditionalFormatting sqref="C15">
    <cfRule type="expression" dxfId="169" priority="177" stopIfTrue="1">
      <formula>AND($A15&lt;&gt;"COMPOSICAO",$A15&lt;&gt;"INSUMO",$A15&lt;&gt;"")</formula>
    </cfRule>
    <cfRule type="expression" dxfId="168" priority="178" stopIfTrue="1">
      <formula>AND(OR($A15="COMPOSICAO",$A15="INSUMO",$A15&lt;&gt;""),$A15&lt;&gt;"")</formula>
    </cfRule>
  </conditionalFormatting>
  <conditionalFormatting sqref="B198">
    <cfRule type="expression" dxfId="167" priority="153" stopIfTrue="1">
      <formula>AND($A198&lt;&gt;"COMPOSICAO",$A198&lt;&gt;"INSUMO",$A198&lt;&gt;"")</formula>
    </cfRule>
    <cfRule type="expression" dxfId="166" priority="154" stopIfTrue="1">
      <formula>AND(OR($A198="COMPOSICAO",$A198="INSUMO",$A198&lt;&gt;""),$A198&lt;&gt;"")</formula>
    </cfRule>
  </conditionalFormatting>
  <conditionalFormatting sqref="B187">
    <cfRule type="expression" dxfId="165" priority="169" stopIfTrue="1">
      <formula>AND($A187&lt;&gt;"COMPOSICAO",$A187&lt;&gt;"INSUMO",$A187&lt;&gt;"")</formula>
    </cfRule>
    <cfRule type="expression" dxfId="164" priority="170" stopIfTrue="1">
      <formula>AND(OR($A187="COMPOSICAO",$A187="INSUMO",$A187&lt;&gt;""),$A187&lt;&gt;"")</formula>
    </cfRule>
  </conditionalFormatting>
  <conditionalFormatting sqref="B188:B194">
    <cfRule type="expression" dxfId="163" priority="173" stopIfTrue="1">
      <formula>AND($A188&lt;&gt;"COMPOSICAO",$A188&lt;&gt;"INSUMO",$A188&lt;&gt;"")</formula>
    </cfRule>
    <cfRule type="expression" dxfId="162" priority="174" stopIfTrue="1">
      <formula>AND(OR($A188="COMPOSICAO",$A188="INSUMO",$A188&lt;&gt;""),$A188&lt;&gt;"")</formula>
    </cfRule>
  </conditionalFormatting>
  <conditionalFormatting sqref="B187">
    <cfRule type="expression" dxfId="161" priority="171" stopIfTrue="1">
      <formula>AND($A187&lt;&gt;"COMPOSICAO",$A187&lt;&gt;"INSUMO",$A187&lt;&gt;"")</formula>
    </cfRule>
    <cfRule type="expression" dxfId="160" priority="172" stopIfTrue="1">
      <formula>AND(OR($A187="COMPOSICAO",$A187="INSUMO",$A187&lt;&gt;""),$A187&lt;&gt;"")</formula>
    </cfRule>
  </conditionalFormatting>
  <conditionalFormatting sqref="D198:G198">
    <cfRule type="expression" dxfId="159" priority="163" stopIfTrue="1">
      <formula>AND($A198&lt;&gt;"COMPOSICAO",$A198&lt;&gt;"INSUMO",$A198&lt;&gt;"")</formula>
    </cfRule>
    <cfRule type="expression" dxfId="158" priority="164" stopIfTrue="1">
      <formula>AND(OR($A198="COMPOSICAO",$A198="INSUMO",$A198&lt;&gt;""),$A198&lt;&gt;"")</formula>
    </cfRule>
  </conditionalFormatting>
  <conditionalFormatting sqref="C199:F202 C204:F206">
    <cfRule type="expression" dxfId="157" priority="167" stopIfTrue="1">
      <formula>AND($A199&lt;&gt;"COMPOSICAO",$A199&lt;&gt;"INSUMO",$A199&lt;&gt;"")</formula>
    </cfRule>
    <cfRule type="expression" dxfId="156" priority="168" stopIfTrue="1">
      <formula>AND(OR($A199="COMPOSICAO",$A199="INSUMO",$A199&lt;&gt;""),$A199&lt;&gt;"")</formula>
    </cfRule>
  </conditionalFormatting>
  <conditionalFormatting sqref="D198:G198">
    <cfRule type="expression" dxfId="155" priority="165" stopIfTrue="1">
      <formula>AND($A198&lt;&gt;"COMPOSICAO",$A198&lt;&gt;"INSUMO",$A198&lt;&gt;"")</formula>
    </cfRule>
    <cfRule type="expression" dxfId="154" priority="166" stopIfTrue="1">
      <formula>AND(OR($A198="COMPOSICAO",$A198="INSUMO",$A198&lt;&gt;""),$A198&lt;&gt;"")</formula>
    </cfRule>
  </conditionalFormatting>
  <conditionalFormatting sqref="C198">
    <cfRule type="expression" dxfId="153" priority="159" stopIfTrue="1">
      <formula>AND($A198&lt;&gt;"COMPOSICAO",$A198&lt;&gt;"INSUMO",$A198&lt;&gt;"")</formula>
    </cfRule>
    <cfRule type="expression" dxfId="152" priority="160" stopIfTrue="1">
      <formula>AND(OR($A198="COMPOSICAO",$A198="INSUMO",$A198&lt;&gt;""),$A198&lt;&gt;"")</formula>
    </cfRule>
  </conditionalFormatting>
  <conditionalFormatting sqref="C198">
    <cfRule type="expression" dxfId="151" priority="161" stopIfTrue="1">
      <formula>AND($A198&lt;&gt;"COMPOSICAO",$A198&lt;&gt;"INSUMO",$A198&lt;&gt;"")</formula>
    </cfRule>
    <cfRule type="expression" dxfId="150" priority="162" stopIfTrue="1">
      <formula>AND(OR($A198="COMPOSICAO",$A198="INSUMO",$A198&lt;&gt;""),$A198&lt;&gt;"")</formula>
    </cfRule>
  </conditionalFormatting>
  <conditionalFormatting sqref="B203:F203">
    <cfRule type="expression" dxfId="149" priority="151" stopIfTrue="1">
      <formula>AND($A203&lt;&gt;"COMPOSICAO",$A203&lt;&gt;"INSUMO",$A203&lt;&gt;"")</formula>
    </cfRule>
    <cfRule type="expression" dxfId="148" priority="152" stopIfTrue="1">
      <formula>AND(OR($A203="COMPOSICAO",$A203="INSUMO",$A203&lt;&gt;""),$A203&lt;&gt;"")</formula>
    </cfRule>
  </conditionalFormatting>
  <conditionalFormatting sqref="B199:B202 B204:B206">
    <cfRule type="expression" dxfId="147" priority="157" stopIfTrue="1">
      <formula>AND($A199&lt;&gt;"COMPOSICAO",$A199&lt;&gt;"INSUMO",$A199&lt;&gt;"")</formula>
    </cfRule>
    <cfRule type="expression" dxfId="146" priority="158" stopIfTrue="1">
      <formula>AND(OR($A199="COMPOSICAO",$A199="INSUMO",$A199&lt;&gt;""),$A199&lt;&gt;"")</formula>
    </cfRule>
  </conditionalFormatting>
  <conditionalFormatting sqref="B198">
    <cfRule type="expression" dxfId="145" priority="155" stopIfTrue="1">
      <formula>AND($A198&lt;&gt;"COMPOSICAO",$A198&lt;&gt;"INSUMO",$A198&lt;&gt;"")</formula>
    </cfRule>
    <cfRule type="expression" dxfId="144" priority="156" stopIfTrue="1">
      <formula>AND(OR($A198="COMPOSICAO",$A198="INSUMO",$A198&lt;&gt;""),$A198&lt;&gt;"")</formula>
    </cfRule>
  </conditionalFormatting>
  <conditionalFormatting sqref="B209">
    <cfRule type="expression" dxfId="143" priority="137" stopIfTrue="1">
      <formula>AND($A209&lt;&gt;"COMPOSICAO",$A209&lt;&gt;"INSUMO",$A209&lt;&gt;"")</formula>
    </cfRule>
    <cfRule type="expression" dxfId="142" priority="138" stopIfTrue="1">
      <formula>AND(OR($A209="COMPOSICAO",$A209="INSUMO",$A209&lt;&gt;""),$A209&lt;&gt;"")</formula>
    </cfRule>
  </conditionalFormatting>
  <conditionalFormatting sqref="D209:G209">
    <cfRule type="expression" dxfId="141" priority="145" stopIfTrue="1">
      <formula>AND($A209&lt;&gt;"COMPOSICAO",$A209&lt;&gt;"INSUMO",$A209&lt;&gt;"")</formula>
    </cfRule>
    <cfRule type="expression" dxfId="140" priority="146" stopIfTrue="1">
      <formula>AND(OR($A209="COMPOSICAO",$A209="INSUMO",$A209&lt;&gt;""),$A209&lt;&gt;"")</formula>
    </cfRule>
  </conditionalFormatting>
  <conditionalFormatting sqref="D209:G209">
    <cfRule type="expression" dxfId="139" priority="147" stopIfTrue="1">
      <formula>AND($A209&lt;&gt;"COMPOSICAO",$A209&lt;&gt;"INSUMO",$A209&lt;&gt;"")</formula>
    </cfRule>
    <cfRule type="expression" dxfId="138" priority="148" stopIfTrue="1">
      <formula>AND(OR($A209="COMPOSICAO",$A209="INSUMO",$A209&lt;&gt;""),$A209&lt;&gt;"")</formula>
    </cfRule>
  </conditionalFormatting>
  <conditionalFormatting sqref="C209">
    <cfRule type="expression" dxfId="137" priority="141" stopIfTrue="1">
      <formula>AND($A209&lt;&gt;"COMPOSICAO",$A209&lt;&gt;"INSUMO",$A209&lt;&gt;"")</formula>
    </cfRule>
    <cfRule type="expression" dxfId="136" priority="142" stopIfTrue="1">
      <formula>AND(OR($A209="COMPOSICAO",$A209="INSUMO",$A209&lt;&gt;""),$A209&lt;&gt;"")</formula>
    </cfRule>
  </conditionalFormatting>
  <conditionalFormatting sqref="C209">
    <cfRule type="expression" dxfId="135" priority="143" stopIfTrue="1">
      <formula>AND($A209&lt;&gt;"COMPOSICAO",$A209&lt;&gt;"INSUMO",$A209&lt;&gt;"")</formula>
    </cfRule>
    <cfRule type="expression" dxfId="134" priority="144" stopIfTrue="1">
      <formula>AND(OR($A209="COMPOSICAO",$A209="INSUMO",$A209&lt;&gt;""),$A209&lt;&gt;"")</formula>
    </cfRule>
  </conditionalFormatting>
  <conditionalFormatting sqref="B209">
    <cfRule type="expression" dxfId="133" priority="139" stopIfTrue="1">
      <formula>AND($A209&lt;&gt;"COMPOSICAO",$A209&lt;&gt;"INSUMO",$A209&lt;&gt;"")</formula>
    </cfRule>
    <cfRule type="expression" dxfId="132" priority="140" stopIfTrue="1">
      <formula>AND(OR($A209="COMPOSICAO",$A209="INSUMO",$A209&lt;&gt;""),$A209&lt;&gt;"")</formula>
    </cfRule>
  </conditionalFormatting>
  <conditionalFormatting sqref="B216">
    <cfRule type="expression" dxfId="131" priority="125" stopIfTrue="1">
      <formula>AND($A216&lt;&gt;"COMPOSICAO",$A216&lt;&gt;"INSUMO",$A216&lt;&gt;"")</formula>
    </cfRule>
    <cfRule type="expression" dxfId="130" priority="126" stopIfTrue="1">
      <formula>AND(OR($A216="COMPOSICAO",$A216="INSUMO",$A216&lt;&gt;""),$A216&lt;&gt;"")</formula>
    </cfRule>
  </conditionalFormatting>
  <conditionalFormatting sqref="D216:F216">
    <cfRule type="expression" dxfId="129" priority="133" stopIfTrue="1">
      <formula>AND($A216&lt;&gt;"COMPOSICAO",$A216&lt;&gt;"INSUMO",$A216&lt;&gt;"")</formula>
    </cfRule>
    <cfRule type="expression" dxfId="128" priority="134" stopIfTrue="1">
      <formula>AND(OR($A216="COMPOSICAO",$A216="INSUMO",$A216&lt;&gt;""),$A216&lt;&gt;"")</formula>
    </cfRule>
  </conditionalFormatting>
  <conditionalFormatting sqref="D216:F216">
    <cfRule type="expression" dxfId="127" priority="135" stopIfTrue="1">
      <formula>AND($A216&lt;&gt;"COMPOSICAO",$A216&lt;&gt;"INSUMO",$A216&lt;&gt;"")</formula>
    </cfRule>
    <cfRule type="expression" dxfId="126" priority="136" stopIfTrue="1">
      <formula>AND(OR($A216="COMPOSICAO",$A216="INSUMO",$A216&lt;&gt;""),$A216&lt;&gt;"")</formula>
    </cfRule>
  </conditionalFormatting>
  <conditionalFormatting sqref="C216">
    <cfRule type="expression" dxfId="125" priority="129" stopIfTrue="1">
      <formula>AND($A216&lt;&gt;"COMPOSICAO",$A216&lt;&gt;"INSUMO",$A216&lt;&gt;"")</formula>
    </cfRule>
    <cfRule type="expression" dxfId="124" priority="130" stopIfTrue="1">
      <formula>AND(OR($A216="COMPOSICAO",$A216="INSUMO",$A216&lt;&gt;""),$A216&lt;&gt;"")</formula>
    </cfRule>
  </conditionalFormatting>
  <conditionalFormatting sqref="C216">
    <cfRule type="expression" dxfId="123" priority="131" stopIfTrue="1">
      <formula>AND($A216&lt;&gt;"COMPOSICAO",$A216&lt;&gt;"INSUMO",$A216&lt;&gt;"")</formula>
    </cfRule>
    <cfRule type="expression" dxfId="122" priority="132" stopIfTrue="1">
      <formula>AND(OR($A216="COMPOSICAO",$A216="INSUMO",$A216&lt;&gt;""),$A216&lt;&gt;"")</formula>
    </cfRule>
  </conditionalFormatting>
  <conditionalFormatting sqref="B216">
    <cfRule type="expression" dxfId="121" priority="127" stopIfTrue="1">
      <formula>AND($A216&lt;&gt;"COMPOSICAO",$A216&lt;&gt;"INSUMO",$A216&lt;&gt;"")</formula>
    </cfRule>
    <cfRule type="expression" dxfId="120" priority="128" stopIfTrue="1">
      <formula>AND(OR($A216="COMPOSICAO",$A216="INSUMO",$A216&lt;&gt;""),$A216&lt;&gt;"")</formula>
    </cfRule>
  </conditionalFormatting>
  <conditionalFormatting sqref="B218:C218 E218:G218">
    <cfRule type="expression" dxfId="119" priority="119" stopIfTrue="1">
      <formula>AND($A218&lt;&gt;"COMPOSICAO",$A218&lt;&gt;"INSUMO",$A218&lt;&gt;"")</formula>
    </cfRule>
    <cfRule type="expression" dxfId="118" priority="120" stopIfTrue="1">
      <formula>AND(OR($A218="COMPOSICAO",$A218="INSUMO",$A218&lt;&gt;""),$A218&lt;&gt;"")</formula>
    </cfRule>
  </conditionalFormatting>
  <conditionalFormatting sqref="B217:G217">
    <cfRule type="expression" dxfId="117" priority="121" stopIfTrue="1">
      <formula>AND($A217&lt;&gt;"COMPOSICAO",$A217&lt;&gt;"INSUMO",$A217&lt;&gt;"")</formula>
    </cfRule>
    <cfRule type="expression" dxfId="116" priority="122" stopIfTrue="1">
      <formula>AND(OR($A217="COMPOSICAO",$A217="INSUMO",$A217&lt;&gt;""),$A217&lt;&gt;"")</formula>
    </cfRule>
  </conditionalFormatting>
  <conditionalFormatting sqref="D218">
    <cfRule type="expression" dxfId="115" priority="117" stopIfTrue="1">
      <formula>AND($A218&lt;&gt;"COMPOSICAO",$A218&lt;&gt;"INSUMO",$A218&lt;&gt;"")</formula>
    </cfRule>
    <cfRule type="expression" dxfId="114" priority="118" stopIfTrue="1">
      <formula>AND(OR($A218="COMPOSICAO",$A218="INSUMO",$A218&lt;&gt;""),$A218&lt;&gt;"")</formula>
    </cfRule>
  </conditionalFormatting>
  <conditionalFormatting sqref="B228">
    <cfRule type="expression" dxfId="113" priority="89" stopIfTrue="1">
      <formula>AND($A228&lt;&gt;"COMPOSICAO",$A228&lt;&gt;"INSUMO",$A228&lt;&gt;"")</formula>
    </cfRule>
    <cfRule type="expression" dxfId="112" priority="90" stopIfTrue="1">
      <formula>AND(OR($A228="COMPOSICAO",$A228="INSUMO",$A228&lt;&gt;""),$A228&lt;&gt;"")</formula>
    </cfRule>
  </conditionalFormatting>
  <conditionalFormatting sqref="B222:G224">
    <cfRule type="expression" dxfId="111" priority="115" stopIfTrue="1">
      <formula>AND($A222&lt;&gt;"COMPOSICAO",$A222&lt;&gt;"INSUMO",$A222&lt;&gt;"")</formula>
    </cfRule>
    <cfRule type="expression" dxfId="110" priority="116" stopIfTrue="1">
      <formula>AND(OR($A222="COMPOSICAO",$A222="INSUMO",$A222&lt;&gt;""),$A222&lt;&gt;"")</formula>
    </cfRule>
  </conditionalFormatting>
  <conditionalFormatting sqref="B221">
    <cfRule type="expression" dxfId="109" priority="103" stopIfTrue="1">
      <formula>AND($A221&lt;&gt;"COMPOSICAO",$A221&lt;&gt;"INSUMO",$A221&lt;&gt;"")</formula>
    </cfRule>
    <cfRule type="expression" dxfId="108" priority="104" stopIfTrue="1">
      <formula>AND(OR($A221="COMPOSICAO",$A221="INSUMO",$A221&lt;&gt;""),$A221&lt;&gt;"")</formula>
    </cfRule>
  </conditionalFormatting>
  <conditionalFormatting sqref="D221:G221">
    <cfRule type="expression" dxfId="107" priority="111" stopIfTrue="1">
      <formula>AND($A221&lt;&gt;"COMPOSICAO",$A221&lt;&gt;"INSUMO",$A221&lt;&gt;"")</formula>
    </cfRule>
    <cfRule type="expression" dxfId="106" priority="112" stopIfTrue="1">
      <formula>AND(OR($A221="COMPOSICAO",$A221="INSUMO",$A221&lt;&gt;""),$A221&lt;&gt;"")</formula>
    </cfRule>
  </conditionalFormatting>
  <conditionalFormatting sqref="D221:G221">
    <cfRule type="expression" dxfId="105" priority="113" stopIfTrue="1">
      <formula>AND($A221&lt;&gt;"COMPOSICAO",$A221&lt;&gt;"INSUMO",$A221&lt;&gt;"")</formula>
    </cfRule>
    <cfRule type="expression" dxfId="104" priority="114" stopIfTrue="1">
      <formula>AND(OR($A221="COMPOSICAO",$A221="INSUMO",$A221&lt;&gt;""),$A221&lt;&gt;"")</formula>
    </cfRule>
  </conditionalFormatting>
  <conditionalFormatting sqref="C221">
    <cfRule type="expression" dxfId="103" priority="107" stopIfTrue="1">
      <formula>AND($A221&lt;&gt;"COMPOSICAO",$A221&lt;&gt;"INSUMO",$A221&lt;&gt;"")</formula>
    </cfRule>
    <cfRule type="expression" dxfId="102" priority="108" stopIfTrue="1">
      <formula>AND(OR($A221="COMPOSICAO",$A221="INSUMO",$A221&lt;&gt;""),$A221&lt;&gt;"")</formula>
    </cfRule>
  </conditionalFormatting>
  <conditionalFormatting sqref="C221">
    <cfRule type="expression" dxfId="101" priority="109" stopIfTrue="1">
      <formula>AND($A221&lt;&gt;"COMPOSICAO",$A221&lt;&gt;"INSUMO",$A221&lt;&gt;"")</formula>
    </cfRule>
    <cfRule type="expression" dxfId="100" priority="110" stopIfTrue="1">
      <formula>AND(OR($A221="COMPOSICAO",$A221="INSUMO",$A221&lt;&gt;""),$A221&lt;&gt;"")</formula>
    </cfRule>
  </conditionalFormatting>
  <conditionalFormatting sqref="B221">
    <cfRule type="expression" dxfId="99" priority="105" stopIfTrue="1">
      <formula>AND($A221&lt;&gt;"COMPOSICAO",$A221&lt;&gt;"INSUMO",$A221&lt;&gt;"")</formula>
    </cfRule>
    <cfRule type="expression" dxfId="98" priority="106" stopIfTrue="1">
      <formula>AND(OR($A221="COMPOSICAO",$A221="INSUMO",$A221&lt;&gt;""),$A221&lt;&gt;"")</formula>
    </cfRule>
  </conditionalFormatting>
  <conditionalFormatting sqref="B229:G231">
    <cfRule type="expression" dxfId="97" priority="101" stopIfTrue="1">
      <formula>AND($A229&lt;&gt;"COMPOSICAO",$A229&lt;&gt;"INSUMO",$A229&lt;&gt;"")</formula>
    </cfRule>
    <cfRule type="expression" dxfId="96" priority="102" stopIfTrue="1">
      <formula>AND(OR($A229="COMPOSICAO",$A229="INSUMO",$A229&lt;&gt;""),$A229&lt;&gt;"")</formula>
    </cfRule>
  </conditionalFormatting>
  <conditionalFormatting sqref="D228:G228">
    <cfRule type="expression" dxfId="95" priority="97" stopIfTrue="1">
      <formula>AND($A228&lt;&gt;"COMPOSICAO",$A228&lt;&gt;"INSUMO",$A228&lt;&gt;"")</formula>
    </cfRule>
    <cfRule type="expression" dxfId="94" priority="98" stopIfTrue="1">
      <formula>AND(OR($A228="COMPOSICAO",$A228="INSUMO",$A228&lt;&gt;""),$A228&lt;&gt;"")</formula>
    </cfRule>
  </conditionalFormatting>
  <conditionalFormatting sqref="D228:G228">
    <cfRule type="expression" dxfId="93" priority="99" stopIfTrue="1">
      <formula>AND($A228&lt;&gt;"COMPOSICAO",$A228&lt;&gt;"INSUMO",$A228&lt;&gt;"")</formula>
    </cfRule>
    <cfRule type="expression" dxfId="92" priority="100" stopIfTrue="1">
      <formula>AND(OR($A228="COMPOSICAO",$A228="INSUMO",$A228&lt;&gt;""),$A228&lt;&gt;"")</formula>
    </cfRule>
  </conditionalFormatting>
  <conditionalFormatting sqref="C228">
    <cfRule type="expression" dxfId="91" priority="93" stopIfTrue="1">
      <formula>AND($A228&lt;&gt;"COMPOSICAO",$A228&lt;&gt;"INSUMO",$A228&lt;&gt;"")</formula>
    </cfRule>
    <cfRule type="expression" dxfId="90" priority="94" stopIfTrue="1">
      <formula>AND(OR($A228="COMPOSICAO",$A228="INSUMO",$A228&lt;&gt;""),$A228&lt;&gt;"")</formula>
    </cfRule>
  </conditionalFormatting>
  <conditionalFormatting sqref="C228">
    <cfRule type="expression" dxfId="89" priority="95" stopIfTrue="1">
      <formula>AND($A228&lt;&gt;"COMPOSICAO",$A228&lt;&gt;"INSUMO",$A228&lt;&gt;"")</formula>
    </cfRule>
    <cfRule type="expression" dxfId="88" priority="96" stopIfTrue="1">
      <formula>AND(OR($A228="COMPOSICAO",$A228="INSUMO",$A228&lt;&gt;""),$A228&lt;&gt;"")</formula>
    </cfRule>
  </conditionalFormatting>
  <conditionalFormatting sqref="B228">
    <cfRule type="expression" dxfId="87" priority="91" stopIfTrue="1">
      <formula>AND($A228&lt;&gt;"COMPOSICAO",$A228&lt;&gt;"INSUMO",$A228&lt;&gt;"")</formula>
    </cfRule>
    <cfRule type="expression" dxfId="86" priority="92" stopIfTrue="1">
      <formula>AND(OR($A228="COMPOSICAO",$A228="INSUMO",$A228&lt;&gt;""),$A228&lt;&gt;"")</formula>
    </cfRule>
  </conditionalFormatting>
  <conditionalFormatting sqref="G235:G237">
    <cfRule type="expression" dxfId="85" priority="73" stopIfTrue="1">
      <formula>AND($A235&lt;&gt;"COMPOSICAO",$A235&lt;&gt;"INSUMO",$A235&lt;&gt;"")</formula>
    </cfRule>
    <cfRule type="expression" dxfId="84" priority="74" stopIfTrue="1">
      <formula>AND(OR($A235="COMPOSICAO",$A235="INSUMO",$A235&lt;&gt;""),$A235&lt;&gt;"")</formula>
    </cfRule>
  </conditionalFormatting>
  <conditionalFormatting sqref="B235:F237">
    <cfRule type="expression" dxfId="83" priority="87" stopIfTrue="1">
      <formula>AND($A235&lt;&gt;"COMPOSICAO",$A235&lt;&gt;"INSUMO",$A235&lt;&gt;"")</formula>
    </cfRule>
    <cfRule type="expression" dxfId="82" priority="88" stopIfTrue="1">
      <formula>AND(OR($A235="COMPOSICAO",$A235="INSUMO",$A235&lt;&gt;""),$A235&lt;&gt;"")</formula>
    </cfRule>
  </conditionalFormatting>
  <conditionalFormatting sqref="B234">
    <cfRule type="expression" dxfId="81" priority="75" stopIfTrue="1">
      <formula>AND($A234&lt;&gt;"COMPOSICAO",$A234&lt;&gt;"INSUMO",$A234&lt;&gt;"")</formula>
    </cfRule>
    <cfRule type="expression" dxfId="80" priority="76" stopIfTrue="1">
      <formula>AND(OR($A234="COMPOSICAO",$A234="INSUMO",$A234&lt;&gt;""),$A234&lt;&gt;"")</formula>
    </cfRule>
  </conditionalFormatting>
  <conditionalFormatting sqref="D234:G234">
    <cfRule type="expression" dxfId="79" priority="83" stopIfTrue="1">
      <formula>AND($A234&lt;&gt;"COMPOSICAO",$A234&lt;&gt;"INSUMO",$A234&lt;&gt;"")</formula>
    </cfRule>
    <cfRule type="expression" dxfId="78" priority="84" stopIfTrue="1">
      <formula>AND(OR($A234="COMPOSICAO",$A234="INSUMO",$A234&lt;&gt;""),$A234&lt;&gt;"")</formula>
    </cfRule>
  </conditionalFormatting>
  <conditionalFormatting sqref="D234:G234">
    <cfRule type="expression" dxfId="77" priority="85" stopIfTrue="1">
      <formula>AND($A234&lt;&gt;"COMPOSICAO",$A234&lt;&gt;"INSUMO",$A234&lt;&gt;"")</formula>
    </cfRule>
    <cfRule type="expression" dxfId="76" priority="86" stopIfTrue="1">
      <formula>AND(OR($A234="COMPOSICAO",$A234="INSUMO",$A234&lt;&gt;""),$A234&lt;&gt;"")</formula>
    </cfRule>
  </conditionalFormatting>
  <conditionalFormatting sqref="C234">
    <cfRule type="expression" dxfId="75" priority="79" stopIfTrue="1">
      <formula>AND($A234&lt;&gt;"COMPOSICAO",$A234&lt;&gt;"INSUMO",$A234&lt;&gt;"")</formula>
    </cfRule>
    <cfRule type="expression" dxfId="74" priority="80" stopIfTrue="1">
      <formula>AND(OR($A234="COMPOSICAO",$A234="INSUMO",$A234&lt;&gt;""),$A234&lt;&gt;"")</formula>
    </cfRule>
  </conditionalFormatting>
  <conditionalFormatting sqref="C234">
    <cfRule type="expression" dxfId="73" priority="81" stopIfTrue="1">
      <formula>AND($A234&lt;&gt;"COMPOSICAO",$A234&lt;&gt;"INSUMO",$A234&lt;&gt;"")</formula>
    </cfRule>
    <cfRule type="expression" dxfId="72" priority="82" stopIfTrue="1">
      <formula>AND(OR($A234="COMPOSICAO",$A234="INSUMO",$A234&lt;&gt;""),$A234&lt;&gt;"")</formula>
    </cfRule>
  </conditionalFormatting>
  <conditionalFormatting sqref="B234">
    <cfRule type="expression" dxfId="71" priority="77" stopIfTrue="1">
      <formula>AND($A234&lt;&gt;"COMPOSICAO",$A234&lt;&gt;"INSUMO",$A234&lt;&gt;"")</formula>
    </cfRule>
    <cfRule type="expression" dxfId="70" priority="78" stopIfTrue="1">
      <formula>AND(OR($A234="COMPOSICAO",$A234="INSUMO",$A234&lt;&gt;""),$A234&lt;&gt;"")</formula>
    </cfRule>
  </conditionalFormatting>
  <conditionalFormatting sqref="B241">
    <cfRule type="expression" dxfId="69" priority="59" stopIfTrue="1">
      <formula>AND($A241&lt;&gt;"COMPOSICAO",$A241&lt;&gt;"INSUMO",$A241&lt;&gt;"")</formula>
    </cfRule>
    <cfRule type="expression" dxfId="68" priority="60" stopIfTrue="1">
      <formula>AND(OR($A241="COMPOSICAO",$A241="INSUMO",$A241&lt;&gt;""),$A241&lt;&gt;"")</formula>
    </cfRule>
  </conditionalFormatting>
  <conditionalFormatting sqref="D241:G241">
    <cfRule type="expression" dxfId="67" priority="67" stopIfTrue="1">
      <formula>AND($A241&lt;&gt;"COMPOSICAO",$A241&lt;&gt;"INSUMO",$A241&lt;&gt;"")</formula>
    </cfRule>
    <cfRule type="expression" dxfId="66" priority="68" stopIfTrue="1">
      <formula>AND(OR($A241="COMPOSICAO",$A241="INSUMO",$A241&lt;&gt;""),$A241&lt;&gt;"")</formula>
    </cfRule>
  </conditionalFormatting>
  <conditionalFormatting sqref="D241:G241">
    <cfRule type="expression" dxfId="65" priority="69" stopIfTrue="1">
      <formula>AND($A241&lt;&gt;"COMPOSICAO",$A241&lt;&gt;"INSUMO",$A241&lt;&gt;"")</formula>
    </cfRule>
    <cfRule type="expression" dxfId="64" priority="70" stopIfTrue="1">
      <formula>AND(OR($A241="COMPOSICAO",$A241="INSUMO",$A241&lt;&gt;""),$A241&lt;&gt;"")</formula>
    </cfRule>
  </conditionalFormatting>
  <conditionalFormatting sqref="C241">
    <cfRule type="expression" dxfId="63" priority="63" stopIfTrue="1">
      <formula>AND($A241&lt;&gt;"COMPOSICAO",$A241&lt;&gt;"INSUMO",$A241&lt;&gt;"")</formula>
    </cfRule>
    <cfRule type="expression" dxfId="62" priority="64" stopIfTrue="1">
      <formula>AND(OR($A241="COMPOSICAO",$A241="INSUMO",$A241&lt;&gt;""),$A241&lt;&gt;"")</formula>
    </cfRule>
  </conditionalFormatting>
  <conditionalFormatting sqref="C241">
    <cfRule type="expression" dxfId="61" priority="65" stopIfTrue="1">
      <formula>AND($A241&lt;&gt;"COMPOSICAO",$A241&lt;&gt;"INSUMO",$A241&lt;&gt;"")</formula>
    </cfRule>
    <cfRule type="expression" dxfId="60" priority="66" stopIfTrue="1">
      <formula>AND(OR($A241="COMPOSICAO",$A241="INSUMO",$A241&lt;&gt;""),$A241&lt;&gt;"")</formula>
    </cfRule>
  </conditionalFormatting>
  <conditionalFormatting sqref="B241">
    <cfRule type="expression" dxfId="59" priority="61" stopIfTrue="1">
      <formula>AND($A241&lt;&gt;"COMPOSICAO",$A241&lt;&gt;"INSUMO",$A241&lt;&gt;"")</formula>
    </cfRule>
    <cfRule type="expression" dxfId="58" priority="62" stopIfTrue="1">
      <formula>AND(OR($A241="COMPOSICAO",$A241="INSUMO",$A241&lt;&gt;""),$A241&lt;&gt;"")</formula>
    </cfRule>
  </conditionalFormatting>
  <conditionalFormatting sqref="G242">
    <cfRule type="expression" dxfId="57" priority="49" stopIfTrue="1">
      <formula>AND($A242&lt;&gt;"COMPOSICAO",$A242&lt;&gt;"INSUMO",$A242&lt;&gt;"")</formula>
    </cfRule>
    <cfRule type="expression" dxfId="56" priority="50" stopIfTrue="1">
      <formula>AND(OR($A242="COMPOSICAO",$A242="INSUMO",$A242&lt;&gt;""),$A242&lt;&gt;"")</formula>
    </cfRule>
  </conditionalFormatting>
  <conditionalFormatting sqref="B242:F242">
    <cfRule type="expression" dxfId="55" priority="51" stopIfTrue="1">
      <formula>AND($A242&lt;&gt;"COMPOSICAO",$A242&lt;&gt;"INSUMO",$A242&lt;&gt;"")</formula>
    </cfRule>
    <cfRule type="expression" dxfId="54" priority="52" stopIfTrue="1">
      <formula>AND(OR($A242="COMPOSICAO",$A242="INSUMO",$A242&lt;&gt;""),$A242&lt;&gt;"")</formula>
    </cfRule>
  </conditionalFormatting>
  <conditionalFormatting sqref="G244">
    <cfRule type="expression" dxfId="53" priority="41" stopIfTrue="1">
      <formula>AND($A244&lt;&gt;"COMPOSICAO",$A244&lt;&gt;"INSUMO",$A244&lt;&gt;"")</formula>
    </cfRule>
    <cfRule type="expression" dxfId="52" priority="42" stopIfTrue="1">
      <formula>AND(OR($A244="COMPOSICAO",$A244="INSUMO",$A244&lt;&gt;""),$A244&lt;&gt;"")</formula>
    </cfRule>
  </conditionalFormatting>
  <conditionalFormatting sqref="B244:F244">
    <cfRule type="expression" dxfId="51" priority="43" stopIfTrue="1">
      <formula>AND($A244&lt;&gt;"COMPOSICAO",$A244&lt;&gt;"INSUMO",$A244&lt;&gt;"")</formula>
    </cfRule>
    <cfRule type="expression" dxfId="50" priority="44" stopIfTrue="1">
      <formula>AND(OR($A244="COMPOSICAO",$A244="INSUMO",$A244&lt;&gt;""),$A244&lt;&gt;"")</formula>
    </cfRule>
  </conditionalFormatting>
  <conditionalFormatting sqref="G245">
    <cfRule type="expression" dxfId="49" priority="37" stopIfTrue="1">
      <formula>AND($A245&lt;&gt;"COMPOSICAO",$A245&lt;&gt;"INSUMO",$A245&lt;&gt;"")</formula>
    </cfRule>
    <cfRule type="expression" dxfId="48" priority="38" stopIfTrue="1">
      <formula>AND(OR($A245="COMPOSICAO",$A245="INSUMO",$A245&lt;&gt;""),$A245&lt;&gt;"")</formula>
    </cfRule>
  </conditionalFormatting>
  <conditionalFormatting sqref="B245:F245">
    <cfRule type="expression" dxfId="47" priority="39" stopIfTrue="1">
      <formula>AND($A245&lt;&gt;"COMPOSICAO",$A245&lt;&gt;"INSUMO",$A245&lt;&gt;"")</formula>
    </cfRule>
    <cfRule type="expression" dxfId="46" priority="40" stopIfTrue="1">
      <formula>AND(OR($A245="COMPOSICAO",$A245="INSUMO",$A245&lt;&gt;""),$A245&lt;&gt;"")</formula>
    </cfRule>
  </conditionalFormatting>
  <conditionalFormatting sqref="G246">
    <cfRule type="expression" dxfId="45" priority="33" stopIfTrue="1">
      <formula>AND($A246&lt;&gt;"COMPOSICAO",$A246&lt;&gt;"INSUMO",$A246&lt;&gt;"")</formula>
    </cfRule>
    <cfRule type="expression" dxfId="44" priority="34" stopIfTrue="1">
      <formula>AND(OR($A246="COMPOSICAO",$A246="INSUMO",$A246&lt;&gt;""),$A246&lt;&gt;"")</formula>
    </cfRule>
  </conditionalFormatting>
  <conditionalFormatting sqref="B246:F246">
    <cfRule type="expression" dxfId="43" priority="35" stopIfTrue="1">
      <formula>AND($A246&lt;&gt;"COMPOSICAO",$A246&lt;&gt;"INSUMO",$A246&lt;&gt;"")</formula>
    </cfRule>
    <cfRule type="expression" dxfId="42" priority="36" stopIfTrue="1">
      <formula>AND(OR($A246="COMPOSICAO",$A246="INSUMO",$A246&lt;&gt;""),$A246&lt;&gt;"")</formula>
    </cfRule>
  </conditionalFormatting>
  <conditionalFormatting sqref="B255:G256">
    <cfRule type="expression" dxfId="41" priority="27" stopIfTrue="1">
      <formula>AND($A255&lt;&gt;"COMPOSICAO",$A255&lt;&gt;"INSUMO",$A255&lt;&gt;"")</formula>
    </cfRule>
    <cfRule type="expression" dxfId="40" priority="28" stopIfTrue="1">
      <formula>AND(OR($A255="COMPOSICAO",$A255="INSUMO",$A255&lt;&gt;""),$A255&lt;&gt;"")</formula>
    </cfRule>
  </conditionalFormatting>
  <conditionalFormatting sqref="B254">
    <cfRule type="expression" dxfId="39" priority="15" stopIfTrue="1">
      <formula>AND($A254&lt;&gt;"COMPOSICAO",$A254&lt;&gt;"INSUMO",$A254&lt;&gt;"")</formula>
    </cfRule>
    <cfRule type="expression" dxfId="38" priority="16" stopIfTrue="1">
      <formula>AND(OR($A254="COMPOSICAO",$A254="INSUMO",$A254&lt;&gt;""),$A254&lt;&gt;"")</formula>
    </cfRule>
  </conditionalFormatting>
  <conditionalFormatting sqref="D254:G254">
    <cfRule type="expression" dxfId="37" priority="23" stopIfTrue="1">
      <formula>AND($A254&lt;&gt;"COMPOSICAO",$A254&lt;&gt;"INSUMO",$A254&lt;&gt;"")</formula>
    </cfRule>
    <cfRule type="expression" dxfId="36" priority="24" stopIfTrue="1">
      <formula>AND(OR($A254="COMPOSICAO",$A254="INSUMO",$A254&lt;&gt;""),$A254&lt;&gt;"")</formula>
    </cfRule>
  </conditionalFormatting>
  <conditionalFormatting sqref="D254:G254">
    <cfRule type="expression" dxfId="35" priority="25" stopIfTrue="1">
      <formula>AND($A254&lt;&gt;"COMPOSICAO",$A254&lt;&gt;"INSUMO",$A254&lt;&gt;"")</formula>
    </cfRule>
    <cfRule type="expression" dxfId="34" priority="26" stopIfTrue="1">
      <formula>AND(OR($A254="COMPOSICAO",$A254="INSUMO",$A254&lt;&gt;""),$A254&lt;&gt;"")</formula>
    </cfRule>
  </conditionalFormatting>
  <conditionalFormatting sqref="C254">
    <cfRule type="expression" dxfId="33" priority="19" stopIfTrue="1">
      <formula>AND($A254&lt;&gt;"COMPOSICAO",$A254&lt;&gt;"INSUMO",$A254&lt;&gt;"")</formula>
    </cfRule>
    <cfRule type="expression" dxfId="32" priority="20" stopIfTrue="1">
      <formula>AND(OR($A254="COMPOSICAO",$A254="INSUMO",$A254&lt;&gt;""),$A254&lt;&gt;"")</formula>
    </cfRule>
  </conditionalFormatting>
  <conditionalFormatting sqref="C254">
    <cfRule type="expression" dxfId="31" priority="21" stopIfTrue="1">
      <formula>AND($A254&lt;&gt;"COMPOSICAO",$A254&lt;&gt;"INSUMO",$A254&lt;&gt;"")</formula>
    </cfRule>
    <cfRule type="expression" dxfId="30" priority="22" stopIfTrue="1">
      <formula>AND(OR($A254="COMPOSICAO",$A254="INSUMO",$A254&lt;&gt;""),$A254&lt;&gt;"")</formula>
    </cfRule>
  </conditionalFormatting>
  <conditionalFormatting sqref="B254">
    <cfRule type="expression" dxfId="29" priority="17" stopIfTrue="1">
      <formula>AND($A254&lt;&gt;"COMPOSICAO",$A254&lt;&gt;"INSUMO",$A254&lt;&gt;"")</formula>
    </cfRule>
    <cfRule type="expression" dxfId="28" priority="18" stopIfTrue="1">
      <formula>AND(OR($A254="COMPOSICAO",$A254="INSUMO",$A254&lt;&gt;""),$A254&lt;&gt;"")</formula>
    </cfRule>
  </conditionalFormatting>
  <conditionalFormatting sqref="B261:G262">
    <cfRule type="expression" dxfId="27" priority="13" stopIfTrue="1">
      <formula>AND($A261&lt;&gt;"COMPOSICAO",$A261&lt;&gt;"INSUMO",$A261&lt;&gt;"")</formula>
    </cfRule>
    <cfRule type="expression" dxfId="26" priority="14" stopIfTrue="1">
      <formula>AND(OR($A261="COMPOSICAO",$A261="INSUMO",$A261&lt;&gt;""),$A261&lt;&gt;"")</formula>
    </cfRule>
  </conditionalFormatting>
  <conditionalFormatting sqref="B260">
    <cfRule type="expression" dxfId="25" priority="1" stopIfTrue="1">
      <formula>AND($A260&lt;&gt;"COMPOSICAO",$A260&lt;&gt;"INSUMO",$A260&lt;&gt;"")</formula>
    </cfRule>
    <cfRule type="expression" dxfId="24" priority="2" stopIfTrue="1">
      <formula>AND(OR($A260="COMPOSICAO",$A260="INSUMO",$A260&lt;&gt;""),$A260&lt;&gt;"")</formula>
    </cfRule>
  </conditionalFormatting>
  <conditionalFormatting sqref="D260:G260">
    <cfRule type="expression" dxfId="23" priority="9" stopIfTrue="1">
      <formula>AND($A260&lt;&gt;"COMPOSICAO",$A260&lt;&gt;"INSUMO",$A260&lt;&gt;"")</formula>
    </cfRule>
    <cfRule type="expression" dxfId="22" priority="10" stopIfTrue="1">
      <formula>AND(OR($A260="COMPOSICAO",$A260="INSUMO",$A260&lt;&gt;""),$A260&lt;&gt;"")</formula>
    </cfRule>
  </conditionalFormatting>
  <conditionalFormatting sqref="D260:G260">
    <cfRule type="expression" dxfId="21" priority="11" stopIfTrue="1">
      <formula>AND($A260&lt;&gt;"COMPOSICAO",$A260&lt;&gt;"INSUMO",$A260&lt;&gt;"")</formula>
    </cfRule>
    <cfRule type="expression" dxfId="20" priority="12" stopIfTrue="1">
      <formula>AND(OR($A260="COMPOSICAO",$A260="INSUMO",$A260&lt;&gt;""),$A260&lt;&gt;"")</formula>
    </cfRule>
  </conditionalFormatting>
  <conditionalFormatting sqref="C260">
    <cfRule type="expression" dxfId="19" priority="5" stopIfTrue="1">
      <formula>AND($A260&lt;&gt;"COMPOSICAO",$A260&lt;&gt;"INSUMO",$A260&lt;&gt;"")</formula>
    </cfRule>
    <cfRule type="expression" dxfId="18" priority="6" stopIfTrue="1">
      <formula>AND(OR($A260="COMPOSICAO",$A260="INSUMO",$A260&lt;&gt;""),$A260&lt;&gt;"")</formula>
    </cfRule>
  </conditionalFormatting>
  <conditionalFormatting sqref="C260">
    <cfRule type="expression" dxfId="17" priority="7" stopIfTrue="1">
      <formula>AND($A260&lt;&gt;"COMPOSICAO",$A260&lt;&gt;"INSUMO",$A260&lt;&gt;"")</formula>
    </cfRule>
    <cfRule type="expression" dxfId="16" priority="8" stopIfTrue="1">
      <formula>AND(OR($A260="COMPOSICAO",$A260="INSUMO",$A260&lt;&gt;""),$A260&lt;&gt;"")</formula>
    </cfRule>
  </conditionalFormatting>
  <conditionalFormatting sqref="B260">
    <cfRule type="expression" dxfId="15" priority="3" stopIfTrue="1">
      <formula>AND($A260&lt;&gt;"COMPOSICAO",$A260&lt;&gt;"INSUMO",$A260&lt;&gt;"")</formula>
    </cfRule>
    <cfRule type="expression" dxfId="14" priority="4" stopIfTrue="1">
      <formula>AND(OR($A260="COMPOSICAO",$A260="INSUMO",$A260&lt;&gt;""),$A260&lt;&gt;"")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B11" sqref="B11"/>
    </sheetView>
  </sheetViews>
  <sheetFormatPr defaultRowHeight="15"/>
  <cols>
    <col min="1" max="1" width="9.28515625" bestFit="1" customWidth="1"/>
    <col min="2" max="2" width="37.7109375" customWidth="1"/>
    <col min="3" max="3" width="12.140625" bestFit="1" customWidth="1"/>
    <col min="4" max="4" width="6" bestFit="1" customWidth="1"/>
    <col min="5" max="5" width="17.5703125" bestFit="1" customWidth="1"/>
    <col min="6" max="6" width="18.5703125" customWidth="1"/>
    <col min="7" max="7" width="4.28515625" customWidth="1"/>
    <col min="8" max="8" width="14.42578125" bestFit="1" customWidth="1"/>
    <col min="9" max="9" width="14.28515625" bestFit="1" customWidth="1"/>
    <col min="11" max="11" width="14.28515625" bestFit="1" customWidth="1"/>
    <col min="12" max="12" width="14.42578125" bestFit="1" customWidth="1"/>
    <col min="13" max="13" width="12.7109375" bestFit="1" customWidth="1"/>
  </cols>
  <sheetData>
    <row r="1" spans="1:13" ht="66" customHeight="1" thickBot="1">
      <c r="A1" s="318" t="s">
        <v>612</v>
      </c>
      <c r="B1" s="318"/>
      <c r="C1" s="318"/>
      <c r="D1" s="318"/>
      <c r="E1" s="318"/>
      <c r="F1" s="318"/>
      <c r="G1" s="318"/>
      <c r="H1" s="318"/>
      <c r="I1" s="318"/>
    </row>
    <row r="2" spans="1:13" ht="15.75" thickBot="1">
      <c r="A2" s="319" t="s">
        <v>659</v>
      </c>
      <c r="B2" s="319"/>
      <c r="C2" s="319"/>
      <c r="D2" s="319"/>
      <c r="E2" s="319"/>
      <c r="F2" s="319"/>
      <c r="G2" s="319"/>
      <c r="H2" s="319"/>
      <c r="I2" s="319"/>
    </row>
    <row r="3" spans="1:13" ht="9.75" customHeight="1" thickBot="1">
      <c r="A3" s="319"/>
      <c r="B3" s="319"/>
      <c r="C3" s="319"/>
      <c r="D3" s="319"/>
      <c r="E3" s="319"/>
      <c r="F3" s="319"/>
      <c r="G3" s="319"/>
      <c r="H3" s="319"/>
      <c r="I3" s="319"/>
    </row>
    <row r="4" spans="1:13" ht="15.75" thickBot="1">
      <c r="A4" s="320" t="s">
        <v>613</v>
      </c>
      <c r="B4" s="320"/>
      <c r="C4" s="320"/>
      <c r="D4" s="320"/>
      <c r="E4" s="320"/>
      <c r="F4" s="320"/>
      <c r="G4" s="320"/>
      <c r="H4" s="320"/>
      <c r="I4" s="320"/>
    </row>
    <row r="5" spans="1:13" ht="15.75" thickBot="1">
      <c r="A5" s="321" t="s">
        <v>614</v>
      </c>
      <c r="B5" s="321"/>
      <c r="C5" s="321"/>
      <c r="D5" s="321"/>
      <c r="E5" s="321"/>
      <c r="F5" s="321"/>
      <c r="G5" s="321"/>
      <c r="H5" s="321"/>
      <c r="I5" s="321"/>
    </row>
    <row r="6" spans="1:13" ht="9" customHeight="1" thickBot="1">
      <c r="A6" s="123"/>
      <c r="B6" s="123"/>
      <c r="C6" s="123"/>
      <c r="D6" s="123"/>
      <c r="E6" s="123"/>
      <c r="F6" s="123"/>
      <c r="G6" s="123"/>
      <c r="H6" s="123"/>
      <c r="I6" s="123"/>
    </row>
    <row r="7" spans="1:13" ht="12.75" customHeight="1" thickBot="1">
      <c r="A7" s="322" t="s">
        <v>615</v>
      </c>
      <c r="B7" s="322" t="s">
        <v>616</v>
      </c>
      <c r="C7" s="323" t="s">
        <v>686</v>
      </c>
      <c r="D7" s="322" t="s">
        <v>617</v>
      </c>
      <c r="E7" s="336" t="s">
        <v>618</v>
      </c>
      <c r="F7" s="337"/>
      <c r="G7" s="351" t="s">
        <v>691</v>
      </c>
      <c r="H7" s="352"/>
      <c r="I7" s="323" t="s">
        <v>688</v>
      </c>
    </row>
    <row r="8" spans="1:13" ht="26.25" customHeight="1" thickBot="1">
      <c r="A8" s="322"/>
      <c r="B8" s="322"/>
      <c r="C8" s="324"/>
      <c r="D8" s="322"/>
      <c r="E8" s="86" t="s">
        <v>619</v>
      </c>
      <c r="F8" s="87" t="s">
        <v>620</v>
      </c>
      <c r="G8" s="353"/>
      <c r="H8" s="354"/>
      <c r="I8" s="324"/>
    </row>
    <row r="9" spans="1:13" ht="97.5" customHeight="1" thickBot="1">
      <c r="A9" s="326" t="s">
        <v>689</v>
      </c>
      <c r="B9" s="114" t="s">
        <v>694</v>
      </c>
      <c r="C9" s="122" t="s">
        <v>690</v>
      </c>
      <c r="D9" s="115" t="s">
        <v>617</v>
      </c>
      <c r="E9" s="90">
        <v>79466</v>
      </c>
      <c r="F9" s="91">
        <v>70100</v>
      </c>
      <c r="G9" s="343">
        <v>160315</v>
      </c>
      <c r="H9" s="344"/>
      <c r="I9" s="333">
        <f>AVERAGE(E9:H9)</f>
        <v>103293.66666666667</v>
      </c>
      <c r="K9" s="92"/>
      <c r="L9" s="93"/>
      <c r="M9" s="93"/>
    </row>
    <row r="10" spans="1:13" ht="17.25" customHeight="1" thickBot="1">
      <c r="A10" s="327"/>
      <c r="B10" s="121"/>
      <c r="C10" s="121" t="s">
        <v>686</v>
      </c>
      <c r="D10" s="118" t="s">
        <v>617</v>
      </c>
      <c r="E10" s="119" t="s">
        <v>685</v>
      </c>
      <c r="F10" s="119" t="s">
        <v>687</v>
      </c>
      <c r="G10" s="331" t="s">
        <v>693</v>
      </c>
      <c r="H10" s="332"/>
      <c r="I10" s="334"/>
      <c r="K10" s="92"/>
      <c r="L10" s="93"/>
      <c r="M10" s="93"/>
    </row>
    <row r="11" spans="1:13" ht="51.75" thickBot="1">
      <c r="A11" s="328"/>
      <c r="B11" s="116" t="s">
        <v>215</v>
      </c>
      <c r="C11" s="120" t="s">
        <v>692</v>
      </c>
      <c r="D11" s="88" t="s">
        <v>684</v>
      </c>
      <c r="E11" s="117">
        <v>1178</v>
      </c>
      <c r="F11" s="90">
        <v>111.04</v>
      </c>
      <c r="G11" s="329">
        <f>F11*1.24</f>
        <v>137.68960000000001</v>
      </c>
      <c r="H11" s="330"/>
      <c r="I11" s="335"/>
      <c r="K11" s="92"/>
      <c r="L11" s="93"/>
      <c r="M11" s="93"/>
    </row>
    <row r="12" spans="1:13" ht="15.75" thickBot="1">
      <c r="A12" s="345" t="s">
        <v>621</v>
      </c>
      <c r="B12" s="346"/>
      <c r="C12" s="346"/>
      <c r="D12" s="346"/>
      <c r="E12" s="346"/>
      <c r="F12" s="346"/>
      <c r="G12" s="346"/>
      <c r="H12" s="347"/>
      <c r="I12" s="94">
        <f>SUM(I9:I9)</f>
        <v>103293.66666666667</v>
      </c>
    </row>
    <row r="13" spans="1:13" ht="11.25" customHeight="1">
      <c r="A13" s="95"/>
      <c r="B13" s="96"/>
      <c r="C13" s="96"/>
      <c r="D13" s="96"/>
      <c r="E13" s="96"/>
      <c r="F13" s="96"/>
      <c r="G13" s="96"/>
      <c r="H13" s="96"/>
      <c r="I13" s="96"/>
    </row>
    <row r="14" spans="1:13">
      <c r="A14" s="348" t="s">
        <v>622</v>
      </c>
      <c r="B14" s="348"/>
      <c r="C14" s="348"/>
      <c r="D14" s="348"/>
      <c r="E14" s="348"/>
      <c r="F14" s="348"/>
      <c r="G14" s="348"/>
      <c r="H14" s="348"/>
      <c r="I14" s="348"/>
    </row>
    <row r="15" spans="1:13">
      <c r="A15" s="348"/>
      <c r="B15" s="348"/>
      <c r="C15" s="349" t="s">
        <v>623</v>
      </c>
      <c r="D15" s="350"/>
      <c r="E15" s="98" t="s">
        <v>624</v>
      </c>
      <c r="F15" s="349" t="s">
        <v>625</v>
      </c>
      <c r="G15" s="350"/>
      <c r="H15" s="97" t="s">
        <v>626</v>
      </c>
      <c r="I15" s="97" t="s">
        <v>627</v>
      </c>
      <c r="M15" s="93"/>
    </row>
    <row r="16" spans="1:13">
      <c r="A16" s="338" t="s">
        <v>628</v>
      </c>
      <c r="B16" s="338"/>
      <c r="C16" s="339" t="s">
        <v>619</v>
      </c>
      <c r="D16" s="340"/>
      <c r="E16" s="100" t="s">
        <v>629</v>
      </c>
      <c r="F16" s="339" t="s">
        <v>630</v>
      </c>
      <c r="G16" s="340"/>
      <c r="H16" s="100" t="s">
        <v>631</v>
      </c>
      <c r="I16" s="101">
        <v>43831</v>
      </c>
    </row>
    <row r="17" spans="1:9">
      <c r="A17" s="338" t="s">
        <v>632</v>
      </c>
      <c r="B17" s="338"/>
      <c r="C17" s="339" t="s">
        <v>620</v>
      </c>
      <c r="D17" s="340"/>
      <c r="E17" s="102" t="s">
        <v>634</v>
      </c>
      <c r="F17" s="339" t="s">
        <v>635</v>
      </c>
      <c r="G17" s="340"/>
      <c r="H17" s="100" t="s">
        <v>636</v>
      </c>
      <c r="I17" s="101">
        <v>43831</v>
      </c>
    </row>
    <row r="18" spans="1:9" ht="6.75" customHeight="1"/>
    <row r="19" spans="1:9" ht="9.75" customHeight="1"/>
    <row r="20" spans="1:9">
      <c r="A20" s="341" t="s">
        <v>1069</v>
      </c>
      <c r="B20" s="341"/>
      <c r="C20" s="341"/>
      <c r="D20" s="341"/>
      <c r="E20" s="341"/>
      <c r="F20" s="341"/>
      <c r="G20" s="341"/>
      <c r="H20" s="341"/>
      <c r="I20" s="341"/>
    </row>
    <row r="21" spans="1:9">
      <c r="A21" s="342" t="s">
        <v>637</v>
      </c>
      <c r="B21" s="342"/>
      <c r="C21" s="342"/>
      <c r="D21" s="342"/>
      <c r="E21" s="342"/>
      <c r="F21" s="342"/>
      <c r="G21" s="342"/>
      <c r="H21" s="342"/>
      <c r="I21" s="342"/>
    </row>
    <row r="22" spans="1:9">
      <c r="A22" s="355" t="s">
        <v>638</v>
      </c>
      <c r="B22" s="355"/>
      <c r="C22" s="355"/>
      <c r="D22" s="355"/>
      <c r="E22" s="355"/>
      <c r="F22" s="355"/>
      <c r="G22" s="355"/>
      <c r="H22" s="355"/>
      <c r="I22" s="355"/>
    </row>
    <row r="23" spans="1:9">
      <c r="A23" s="325" t="s">
        <v>639</v>
      </c>
      <c r="B23" s="325"/>
      <c r="C23" s="325"/>
      <c r="D23" s="325"/>
      <c r="E23" s="325"/>
      <c r="F23" s="325"/>
      <c r="G23" s="325"/>
      <c r="H23" s="325"/>
      <c r="I23" s="325"/>
    </row>
    <row r="24" spans="1:9">
      <c r="A24" s="325" t="s">
        <v>640</v>
      </c>
      <c r="B24" s="325"/>
      <c r="C24" s="325"/>
      <c r="D24" s="325"/>
      <c r="E24" s="325"/>
      <c r="F24" s="325"/>
      <c r="G24" s="325"/>
      <c r="H24" s="325"/>
      <c r="I24" s="325"/>
    </row>
    <row r="25" spans="1:9">
      <c r="A25" s="103"/>
      <c r="B25" s="103"/>
      <c r="C25" s="103"/>
      <c r="D25" s="103"/>
      <c r="E25" s="103"/>
      <c r="F25" s="103"/>
      <c r="G25" s="103"/>
      <c r="H25" s="103"/>
    </row>
    <row r="26" spans="1:9">
      <c r="A26" s="104"/>
      <c r="B26" s="104"/>
      <c r="C26" s="104"/>
      <c r="D26" s="104"/>
      <c r="E26" s="104"/>
      <c r="F26" s="104"/>
      <c r="G26" s="104"/>
      <c r="H26" s="104"/>
    </row>
    <row r="27" spans="1:9">
      <c r="A27" s="104"/>
      <c r="B27" s="104"/>
      <c r="C27" s="104"/>
      <c r="D27" s="104"/>
      <c r="E27" s="104"/>
      <c r="F27" s="104"/>
      <c r="G27" s="104"/>
      <c r="H27" s="104"/>
    </row>
  </sheetData>
  <mergeCells count="32">
    <mergeCell ref="C15:D15"/>
    <mergeCell ref="C16:D16"/>
    <mergeCell ref="C17:D17"/>
    <mergeCell ref="G7:H8"/>
    <mergeCell ref="A22:I22"/>
    <mergeCell ref="F15:G15"/>
    <mergeCell ref="A16:B16"/>
    <mergeCell ref="F16:G16"/>
    <mergeCell ref="A23:I23"/>
    <mergeCell ref="A24:I24"/>
    <mergeCell ref="A9:A11"/>
    <mergeCell ref="C7:C8"/>
    <mergeCell ref="G11:H11"/>
    <mergeCell ref="G10:H10"/>
    <mergeCell ref="I9:I11"/>
    <mergeCell ref="E7:F7"/>
    <mergeCell ref="A17:B17"/>
    <mergeCell ref="F17:G17"/>
    <mergeCell ref="A20:I20"/>
    <mergeCell ref="A21:I21"/>
    <mergeCell ref="G9:H9"/>
    <mergeCell ref="A12:H12"/>
    <mergeCell ref="A14:I14"/>
    <mergeCell ref="A15:B15"/>
    <mergeCell ref="A1:I1"/>
    <mergeCell ref="A2:I3"/>
    <mergeCell ref="A4:I4"/>
    <mergeCell ref="A5:I5"/>
    <mergeCell ref="A7:A8"/>
    <mergeCell ref="B7:B8"/>
    <mergeCell ref="D7:D8"/>
    <mergeCell ref="I7:I8"/>
  </mergeCells>
  <pageMargins left="0.7" right="0.7" top="0.75" bottom="0.75" header="0.3" footer="0.3"/>
  <pageSetup paperSize="9"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8" sqref="B8:B9"/>
    </sheetView>
  </sheetViews>
  <sheetFormatPr defaultRowHeight="15"/>
  <cols>
    <col min="1" max="1" width="13.85546875" bestFit="1" customWidth="1"/>
    <col min="2" max="2" width="78.140625" customWidth="1"/>
    <col min="3" max="3" width="6.7109375" customWidth="1"/>
    <col min="4" max="4" width="13.28515625" bestFit="1" customWidth="1"/>
    <col min="5" max="5" width="17.5703125" bestFit="1" customWidth="1"/>
    <col min="6" max="6" width="14.28515625" bestFit="1" customWidth="1"/>
    <col min="7" max="7" width="13.5703125" bestFit="1" customWidth="1"/>
    <col min="9" max="9" width="13.28515625" bestFit="1" customWidth="1"/>
    <col min="10" max="10" width="14.42578125" bestFit="1" customWidth="1"/>
  </cols>
  <sheetData>
    <row r="1" spans="1:10" ht="48" customHeight="1" thickBot="1">
      <c r="A1" s="318" t="s">
        <v>612</v>
      </c>
      <c r="B1" s="318"/>
      <c r="C1" s="318"/>
      <c r="D1" s="318"/>
      <c r="E1" s="318"/>
      <c r="F1" s="318"/>
      <c r="G1" s="318"/>
    </row>
    <row r="2" spans="1:10" ht="15.75" thickBot="1">
      <c r="A2" s="319" t="s">
        <v>641</v>
      </c>
      <c r="B2" s="319"/>
      <c r="C2" s="319"/>
      <c r="D2" s="319"/>
      <c r="E2" s="319"/>
      <c r="F2" s="319"/>
      <c r="G2" s="319"/>
    </row>
    <row r="3" spans="1:10" ht="15.75" hidden="1" thickBot="1">
      <c r="A3" s="319"/>
      <c r="B3" s="319"/>
      <c r="C3" s="319"/>
      <c r="D3" s="319"/>
      <c r="E3" s="319"/>
      <c r="F3" s="319"/>
      <c r="G3" s="319"/>
    </row>
    <row r="4" spans="1:10" ht="15.75" thickBot="1">
      <c r="A4" s="356" t="s">
        <v>613</v>
      </c>
      <c r="B4" s="356"/>
      <c r="C4" s="356"/>
      <c r="D4" s="356"/>
      <c r="E4" s="356"/>
      <c r="F4" s="356"/>
      <c r="G4" s="356"/>
    </row>
    <row r="5" spans="1:10" ht="15.75" thickBot="1">
      <c r="A5" s="357" t="s">
        <v>642</v>
      </c>
      <c r="B5" s="357"/>
      <c r="C5" s="357"/>
      <c r="D5" s="357"/>
      <c r="E5" s="357"/>
      <c r="F5" s="357"/>
      <c r="G5" s="357"/>
    </row>
    <row r="6" spans="1:10" ht="15.75" thickBot="1">
      <c r="A6" s="322" t="s">
        <v>615</v>
      </c>
      <c r="B6" s="322" t="s">
        <v>616</v>
      </c>
      <c r="C6" s="322" t="s">
        <v>617</v>
      </c>
      <c r="D6" s="322" t="s">
        <v>643</v>
      </c>
      <c r="E6" s="322"/>
      <c r="F6" s="322"/>
      <c r="G6" s="322" t="s">
        <v>644</v>
      </c>
    </row>
    <row r="7" spans="1:10" ht="15.75" thickBot="1">
      <c r="A7" s="322"/>
      <c r="B7" s="322"/>
      <c r="C7" s="322"/>
      <c r="D7" s="86" t="s">
        <v>645</v>
      </c>
      <c r="E7" s="86" t="s">
        <v>646</v>
      </c>
      <c r="F7" s="86" t="s">
        <v>647</v>
      </c>
      <c r="G7" s="322"/>
    </row>
    <row r="8" spans="1:10">
      <c r="A8" s="326" t="s">
        <v>267</v>
      </c>
      <c r="B8" s="361" t="s">
        <v>648</v>
      </c>
      <c r="C8" s="326" t="s">
        <v>617</v>
      </c>
      <c r="D8" s="363">
        <v>78860</v>
      </c>
      <c r="E8" s="366">
        <v>84117.79</v>
      </c>
      <c r="F8" s="368">
        <v>110000</v>
      </c>
      <c r="G8" s="333">
        <f>AVERAGE(D8:F9)</f>
        <v>90992.596666666665</v>
      </c>
    </row>
    <row r="9" spans="1:10" ht="220.5" customHeight="1" thickBot="1">
      <c r="A9" s="328"/>
      <c r="B9" s="362"/>
      <c r="C9" s="328"/>
      <c r="D9" s="364"/>
      <c r="E9" s="367"/>
      <c r="F9" s="369"/>
      <c r="G9" s="335"/>
      <c r="I9" s="105"/>
      <c r="J9" s="105"/>
    </row>
    <row r="10" spans="1:10" ht="15.75" thickBot="1">
      <c r="A10" s="345" t="s">
        <v>621</v>
      </c>
      <c r="B10" s="346"/>
      <c r="C10" s="346"/>
      <c r="D10" s="346"/>
      <c r="E10" s="346"/>
      <c r="F10" s="347"/>
      <c r="G10" s="94">
        <f>SUM(G8:G8)</f>
        <v>90992.596666666665</v>
      </c>
    </row>
    <row r="11" spans="1:10" ht="8.25" customHeight="1">
      <c r="A11" s="95"/>
      <c r="B11" s="96"/>
      <c r="C11" s="96"/>
      <c r="D11" s="96"/>
      <c r="E11" s="96"/>
      <c r="F11" s="96"/>
      <c r="G11" s="96"/>
      <c r="I11" s="105"/>
    </row>
    <row r="12" spans="1:10" ht="12.75" customHeight="1">
      <c r="A12" s="349" t="s">
        <v>622</v>
      </c>
      <c r="B12" s="365"/>
      <c r="C12" s="365"/>
      <c r="D12" s="365"/>
      <c r="E12" s="365"/>
      <c r="F12" s="365"/>
      <c r="G12" s="350"/>
    </row>
    <row r="13" spans="1:10">
      <c r="A13" s="349"/>
      <c r="B13" s="350"/>
      <c r="C13" s="348" t="s">
        <v>623</v>
      </c>
      <c r="D13" s="348"/>
      <c r="E13" s="98" t="s">
        <v>624</v>
      </c>
      <c r="F13" s="97" t="s">
        <v>625</v>
      </c>
      <c r="G13" s="97" t="s">
        <v>627</v>
      </c>
    </row>
    <row r="14" spans="1:10">
      <c r="A14" s="358" t="s">
        <v>628</v>
      </c>
      <c r="B14" s="359"/>
      <c r="C14" s="360" t="s">
        <v>649</v>
      </c>
      <c r="D14" s="360"/>
      <c r="E14" s="100" t="s">
        <v>650</v>
      </c>
      <c r="F14" s="99" t="s">
        <v>651</v>
      </c>
      <c r="G14" s="101">
        <v>43862</v>
      </c>
    </row>
    <row r="15" spans="1:10">
      <c r="A15" s="358" t="s">
        <v>632</v>
      </c>
      <c r="B15" s="359"/>
      <c r="C15" s="360" t="s">
        <v>652</v>
      </c>
      <c r="D15" s="360"/>
      <c r="E15" s="100" t="s">
        <v>653</v>
      </c>
      <c r="F15" s="99" t="s">
        <v>654</v>
      </c>
      <c r="G15" s="101">
        <v>43862</v>
      </c>
    </row>
    <row r="16" spans="1:10">
      <c r="A16" s="358" t="s">
        <v>633</v>
      </c>
      <c r="B16" s="359"/>
      <c r="C16" s="360" t="s">
        <v>655</v>
      </c>
      <c r="D16" s="360"/>
      <c r="E16" s="99" t="s">
        <v>656</v>
      </c>
      <c r="F16" s="99" t="s">
        <v>657</v>
      </c>
      <c r="G16" s="101">
        <v>43862</v>
      </c>
    </row>
    <row r="17" spans="1:7" ht="10.5" customHeight="1"/>
    <row r="18" spans="1:7" ht="12.75" customHeight="1">
      <c r="A18" s="341" t="s">
        <v>1071</v>
      </c>
      <c r="B18" s="341"/>
      <c r="C18" s="341"/>
      <c r="D18" s="341"/>
      <c r="E18" s="341"/>
      <c r="F18" s="341"/>
      <c r="G18" s="341"/>
    </row>
    <row r="19" spans="1:7" ht="30.75" customHeight="1">
      <c r="A19" s="342" t="s">
        <v>637</v>
      </c>
      <c r="B19" s="342"/>
      <c r="C19" s="342"/>
      <c r="D19" s="342"/>
      <c r="E19" s="342"/>
      <c r="F19" s="342"/>
      <c r="G19" s="342"/>
    </row>
    <row r="20" spans="1:7">
      <c r="A20" s="355" t="s">
        <v>638</v>
      </c>
      <c r="B20" s="355"/>
      <c r="C20" s="355"/>
      <c r="D20" s="355"/>
      <c r="E20" s="355"/>
      <c r="F20" s="355"/>
      <c r="G20" s="355"/>
    </row>
    <row r="21" spans="1:7">
      <c r="A21" s="325" t="s">
        <v>639</v>
      </c>
      <c r="B21" s="325"/>
      <c r="C21" s="325"/>
      <c r="D21" s="325"/>
      <c r="E21" s="325"/>
      <c r="F21" s="325"/>
      <c r="G21" s="325"/>
    </row>
    <row r="22" spans="1:7">
      <c r="A22" s="325" t="s">
        <v>658</v>
      </c>
      <c r="B22" s="325"/>
      <c r="C22" s="325"/>
      <c r="D22" s="325"/>
      <c r="E22" s="325"/>
      <c r="F22" s="325"/>
      <c r="G22" s="325"/>
    </row>
    <row r="23" spans="1:7">
      <c r="A23" s="103"/>
      <c r="B23" s="103"/>
      <c r="C23" s="103"/>
      <c r="D23" s="103"/>
      <c r="E23" s="103"/>
      <c r="F23" s="103"/>
    </row>
  </sheetData>
  <mergeCells count="31">
    <mergeCell ref="A20:G20"/>
    <mergeCell ref="A21:G21"/>
    <mergeCell ref="A22:G22"/>
    <mergeCell ref="A15:B15"/>
    <mergeCell ref="C15:D15"/>
    <mergeCell ref="A16:B16"/>
    <mergeCell ref="C16:D16"/>
    <mergeCell ref="A18:G18"/>
    <mergeCell ref="A19:G19"/>
    <mergeCell ref="G8:G9"/>
    <mergeCell ref="A10:F10"/>
    <mergeCell ref="A12:G12"/>
    <mergeCell ref="A13:B13"/>
    <mergeCell ref="C13:D13"/>
    <mergeCell ref="E8:E9"/>
    <mergeCell ref="F8:F9"/>
    <mergeCell ref="A14:B14"/>
    <mergeCell ref="C14:D14"/>
    <mergeCell ref="A8:A9"/>
    <mergeCell ref="B8:B9"/>
    <mergeCell ref="C8:C9"/>
    <mergeCell ref="D8:D9"/>
    <mergeCell ref="A1:G1"/>
    <mergeCell ref="A2:G3"/>
    <mergeCell ref="A4:G4"/>
    <mergeCell ref="A5:G5"/>
    <mergeCell ref="A6:A7"/>
    <mergeCell ref="B6:B7"/>
    <mergeCell ref="C6:C7"/>
    <mergeCell ref="D6:F6"/>
    <mergeCell ref="G6:G7"/>
  </mergeCells>
  <pageMargins left="0.25" right="0.25" top="0.75" bottom="0.75" header="0.3" footer="0.3"/>
  <pageSetup paperSize="9"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A18" sqref="A18:H18"/>
    </sheetView>
  </sheetViews>
  <sheetFormatPr defaultRowHeight="15"/>
  <cols>
    <col min="1" max="1" width="9.28515625" bestFit="1" customWidth="1"/>
    <col min="2" max="2" width="30.7109375" customWidth="1"/>
    <col min="3" max="3" width="6.7109375" customWidth="1"/>
    <col min="4" max="4" width="24.140625" customWidth="1"/>
    <col min="5" max="5" width="18.5703125" customWidth="1"/>
    <col min="6" max="6" width="8.85546875" bestFit="1" customWidth="1"/>
    <col min="7" max="7" width="15.85546875" bestFit="1" customWidth="1"/>
    <col min="8" max="8" width="13.42578125" customWidth="1"/>
    <col min="10" max="10" width="12.7109375" bestFit="1" customWidth="1"/>
    <col min="11" max="11" width="14.42578125" bestFit="1" customWidth="1"/>
    <col min="12" max="12" width="12.85546875" bestFit="1" customWidth="1"/>
  </cols>
  <sheetData>
    <row r="1" spans="1:12" ht="48.75" customHeight="1" thickBot="1">
      <c r="A1" s="318" t="s">
        <v>612</v>
      </c>
      <c r="B1" s="318"/>
      <c r="C1" s="318"/>
      <c r="D1" s="318"/>
      <c r="E1" s="318"/>
      <c r="F1" s="318"/>
      <c r="G1" s="318"/>
      <c r="H1" s="318"/>
    </row>
    <row r="2" spans="1:12" ht="15.75" thickBot="1">
      <c r="A2" s="319" t="s">
        <v>659</v>
      </c>
      <c r="B2" s="319"/>
      <c r="C2" s="319"/>
      <c r="D2" s="319"/>
      <c r="E2" s="319"/>
      <c r="F2" s="319"/>
      <c r="G2" s="319"/>
      <c r="H2" s="319"/>
    </row>
    <row r="3" spans="1:12" ht="15.75" hidden="1" thickBot="1">
      <c r="A3" s="319"/>
      <c r="B3" s="319"/>
      <c r="C3" s="319"/>
      <c r="D3" s="319"/>
      <c r="E3" s="319"/>
      <c r="F3" s="319"/>
      <c r="G3" s="319"/>
      <c r="H3" s="319"/>
    </row>
    <row r="4" spans="1:12" ht="15.75" thickBot="1">
      <c r="A4" s="320" t="s">
        <v>613</v>
      </c>
      <c r="B4" s="320"/>
      <c r="C4" s="320"/>
      <c r="D4" s="320"/>
      <c r="E4" s="320"/>
      <c r="F4" s="320"/>
      <c r="G4" s="320"/>
      <c r="H4" s="320"/>
    </row>
    <row r="5" spans="1:12" ht="15.75" thickBot="1">
      <c r="A5" s="321" t="s">
        <v>614</v>
      </c>
      <c r="B5" s="321"/>
      <c r="C5" s="321"/>
      <c r="D5" s="321"/>
      <c r="E5" s="321"/>
      <c r="F5" s="321"/>
      <c r="G5" s="321"/>
      <c r="H5" s="321"/>
    </row>
    <row r="6" spans="1:12" ht="15.75" thickBot="1">
      <c r="A6" s="322" t="s">
        <v>615</v>
      </c>
      <c r="B6" s="322" t="s">
        <v>616</v>
      </c>
      <c r="C6" s="322" t="s">
        <v>617</v>
      </c>
      <c r="D6" s="322" t="s">
        <v>643</v>
      </c>
      <c r="E6" s="322"/>
      <c r="F6" s="322"/>
      <c r="G6" s="322"/>
      <c r="H6" s="323" t="s">
        <v>644</v>
      </c>
    </row>
    <row r="7" spans="1:12" ht="15.75" thickBot="1">
      <c r="A7" s="322"/>
      <c r="B7" s="322"/>
      <c r="C7" s="322"/>
      <c r="D7" s="86" t="s">
        <v>660</v>
      </c>
      <c r="E7" s="86" t="s">
        <v>661</v>
      </c>
      <c r="F7" s="371" t="s">
        <v>662</v>
      </c>
      <c r="G7" s="372"/>
      <c r="H7" s="324"/>
    </row>
    <row r="8" spans="1:12" ht="153.75" thickBot="1">
      <c r="A8" s="88" t="s">
        <v>663</v>
      </c>
      <c r="B8" s="89" t="s">
        <v>664</v>
      </c>
      <c r="C8" s="88" t="s">
        <v>617</v>
      </c>
      <c r="D8" s="106">
        <v>186960</v>
      </c>
      <c r="E8" s="107">
        <v>202600</v>
      </c>
      <c r="F8" s="329">
        <v>196995</v>
      </c>
      <c r="G8" s="330"/>
      <c r="H8" s="108">
        <f>AVERAGE(D8:G8)</f>
        <v>195518.33333333334</v>
      </c>
      <c r="J8" s="93"/>
      <c r="K8" s="93"/>
      <c r="L8" s="93"/>
    </row>
    <row r="9" spans="1:12" ht="15.75" thickBot="1">
      <c r="A9" s="370" t="s">
        <v>621</v>
      </c>
      <c r="B9" s="346"/>
      <c r="C9" s="346"/>
      <c r="D9" s="346"/>
      <c r="E9" s="346"/>
      <c r="F9" s="346"/>
      <c r="G9" s="347"/>
      <c r="H9" s="94">
        <f>H8</f>
        <v>195518.33333333334</v>
      </c>
    </row>
    <row r="10" spans="1:12">
      <c r="A10" s="95"/>
      <c r="B10" s="96"/>
      <c r="C10" s="96"/>
      <c r="D10" s="96"/>
      <c r="E10" s="96"/>
      <c r="F10" s="96"/>
      <c r="G10" s="96"/>
      <c r="H10" s="96"/>
    </row>
    <row r="11" spans="1:12">
      <c r="A11" s="348" t="s">
        <v>622</v>
      </c>
      <c r="B11" s="348"/>
      <c r="C11" s="348"/>
      <c r="D11" s="348"/>
      <c r="E11" s="348"/>
      <c r="F11" s="348"/>
      <c r="G11" s="348"/>
      <c r="H11" s="348"/>
    </row>
    <row r="12" spans="1:12">
      <c r="A12" s="348"/>
      <c r="B12" s="348"/>
      <c r="C12" s="348" t="s">
        <v>623</v>
      </c>
      <c r="D12" s="348"/>
      <c r="E12" s="98" t="s">
        <v>624</v>
      </c>
      <c r="F12" s="97" t="s">
        <v>625</v>
      </c>
      <c r="G12" s="97" t="s">
        <v>626</v>
      </c>
      <c r="H12" s="97" t="s">
        <v>627</v>
      </c>
    </row>
    <row r="13" spans="1:12">
      <c r="A13" s="338" t="s">
        <v>628</v>
      </c>
      <c r="B13" s="338"/>
      <c r="C13" s="360" t="s">
        <v>660</v>
      </c>
      <c r="D13" s="360"/>
      <c r="E13" s="100" t="s">
        <v>665</v>
      </c>
      <c r="F13" s="99" t="s">
        <v>666</v>
      </c>
      <c r="G13" s="100" t="s">
        <v>667</v>
      </c>
      <c r="H13" s="101">
        <v>43831</v>
      </c>
    </row>
    <row r="14" spans="1:12">
      <c r="A14" s="338" t="s">
        <v>632</v>
      </c>
      <c r="B14" s="338"/>
      <c r="C14" s="360" t="s">
        <v>661</v>
      </c>
      <c r="D14" s="360"/>
      <c r="E14" s="100" t="s">
        <v>668</v>
      </c>
      <c r="F14" s="99" t="s">
        <v>669</v>
      </c>
      <c r="G14" s="100" t="s">
        <v>670</v>
      </c>
      <c r="H14" s="101">
        <v>43831</v>
      </c>
    </row>
    <row r="15" spans="1:12">
      <c r="A15" s="338" t="s">
        <v>633</v>
      </c>
      <c r="B15" s="338"/>
      <c r="C15" s="360" t="s">
        <v>662</v>
      </c>
      <c r="D15" s="360"/>
      <c r="E15" s="102" t="s">
        <v>671</v>
      </c>
      <c r="F15" s="99" t="s">
        <v>672</v>
      </c>
      <c r="G15" s="100" t="s">
        <v>673</v>
      </c>
      <c r="H15" s="101">
        <v>43831</v>
      </c>
    </row>
    <row r="18" spans="1:8">
      <c r="A18" s="341" t="s">
        <v>674</v>
      </c>
      <c r="B18" s="341"/>
      <c r="C18" s="341"/>
      <c r="D18" s="341"/>
      <c r="E18" s="341"/>
      <c r="F18" s="341"/>
      <c r="G18" s="341"/>
      <c r="H18" s="341"/>
    </row>
    <row r="19" spans="1:8">
      <c r="A19" s="342" t="s">
        <v>637</v>
      </c>
      <c r="B19" s="342"/>
      <c r="C19" s="342"/>
      <c r="D19" s="342"/>
      <c r="E19" s="342"/>
      <c r="F19" s="342"/>
      <c r="G19" s="342"/>
      <c r="H19" s="342"/>
    </row>
    <row r="20" spans="1:8">
      <c r="A20" s="355" t="s">
        <v>638</v>
      </c>
      <c r="B20" s="355"/>
      <c r="C20" s="355"/>
      <c r="D20" s="355"/>
      <c r="E20" s="355"/>
      <c r="F20" s="355"/>
      <c r="G20" s="355"/>
      <c r="H20" s="355"/>
    </row>
    <row r="21" spans="1:8">
      <c r="A21" s="325" t="s">
        <v>639</v>
      </c>
      <c r="B21" s="325"/>
      <c r="C21" s="325"/>
      <c r="D21" s="325"/>
      <c r="E21" s="325"/>
      <c r="F21" s="325"/>
      <c r="G21" s="325"/>
      <c r="H21" s="325"/>
    </row>
    <row r="22" spans="1:8">
      <c r="A22" s="325" t="s">
        <v>640</v>
      </c>
      <c r="B22" s="325"/>
      <c r="C22" s="325"/>
      <c r="D22" s="325"/>
      <c r="E22" s="325"/>
      <c r="F22" s="325"/>
      <c r="G22" s="325"/>
      <c r="H22" s="325"/>
    </row>
    <row r="23" spans="1:8">
      <c r="A23" s="103"/>
      <c r="B23" s="103"/>
      <c r="C23" s="103"/>
      <c r="D23" s="103"/>
      <c r="E23" s="103"/>
      <c r="F23" s="103"/>
      <c r="G23" s="103"/>
    </row>
    <row r="24" spans="1:8">
      <c r="A24" s="104"/>
      <c r="B24" s="104"/>
      <c r="C24" s="104"/>
      <c r="D24" s="104"/>
      <c r="E24" s="104"/>
      <c r="F24" s="104"/>
      <c r="G24" s="104"/>
    </row>
    <row r="25" spans="1:8">
      <c r="A25" s="104"/>
      <c r="B25" s="104"/>
      <c r="C25" s="104"/>
      <c r="D25" s="104"/>
      <c r="E25" s="104"/>
      <c r="F25" s="104"/>
      <c r="G25" s="104"/>
    </row>
  </sheetData>
  <mergeCells count="26">
    <mergeCell ref="A13:B13"/>
    <mergeCell ref="C13:D13"/>
    <mergeCell ref="A20:H20"/>
    <mergeCell ref="A21:H21"/>
    <mergeCell ref="A22:H22"/>
    <mergeCell ref="A14:B14"/>
    <mergeCell ref="C14:D14"/>
    <mergeCell ref="A15:B15"/>
    <mergeCell ref="C15:D15"/>
    <mergeCell ref="A18:H18"/>
    <mergeCell ref="A19:H19"/>
    <mergeCell ref="F8:G8"/>
    <mergeCell ref="A9:G9"/>
    <mergeCell ref="A11:H11"/>
    <mergeCell ref="A12:B12"/>
    <mergeCell ref="A1:H1"/>
    <mergeCell ref="A2:H3"/>
    <mergeCell ref="A4:H4"/>
    <mergeCell ref="A5:H5"/>
    <mergeCell ref="A6:A7"/>
    <mergeCell ref="B6:B7"/>
    <mergeCell ref="C6:C7"/>
    <mergeCell ref="D6:G6"/>
    <mergeCell ref="H6:H7"/>
    <mergeCell ref="F7:G7"/>
    <mergeCell ref="C12:D12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105"/>
  <sheetViews>
    <sheetView workbookViewId="0">
      <selection activeCell="O29" sqref="O29"/>
    </sheetView>
  </sheetViews>
  <sheetFormatPr defaultRowHeight="15"/>
  <cols>
    <col min="1" max="1" width="6.7109375" customWidth="1"/>
    <col min="2" max="2" width="12.5703125" style="24" customWidth="1"/>
    <col min="3" max="3" width="35.28515625" style="24" customWidth="1"/>
    <col min="4" max="4" width="13.7109375" style="24" customWidth="1"/>
    <col min="5" max="5" width="12.42578125" style="24" customWidth="1"/>
    <col min="6" max="6" width="11.140625" style="24" customWidth="1"/>
    <col min="7" max="7" width="12.5703125" customWidth="1"/>
    <col min="8" max="8" width="15.85546875" customWidth="1"/>
    <col min="9" max="9" width="13.7109375" customWidth="1"/>
    <col min="10" max="10" width="11.140625" customWidth="1"/>
    <col min="14" max="14" width="16.5703125" customWidth="1"/>
    <col min="15" max="15" width="11.140625" customWidth="1"/>
  </cols>
  <sheetData>
    <row r="2" spans="2:43">
      <c r="F2" s="24" t="s">
        <v>4</v>
      </c>
    </row>
    <row r="3" spans="2:43">
      <c r="B3" s="24" t="s">
        <v>28</v>
      </c>
      <c r="C3" s="24" t="s">
        <v>237</v>
      </c>
      <c r="D3" s="24">
        <f>(85.2*3.25)-(1.8*2.1*2)-(1.35*2.1)-(3.76*0.8)-(4.7*0.8)-(3*2.08)-(1.4*0.8)-(4.7*0.8)-(2.1*2.1*2)-(4.7*1.4*3)</f>
        <v>220.05700000000007</v>
      </c>
      <c r="E3" s="24">
        <f>(2.4+2.4+(3.4*2)+2+1.3+2.3+1+(3.5*2)+(1.84*2)+2.76+1.55+6.85+(4.35*2)+2.5+(1.7*2)+(1.35*2))*3.25</f>
        <v>186.35499999999999</v>
      </c>
      <c r="F3" s="24">
        <f>D3+E3</f>
        <v>406.41200000000003</v>
      </c>
      <c r="N3" s="374" t="s">
        <v>578</v>
      </c>
      <c r="O3" s="374"/>
      <c r="P3" s="32" t="s">
        <v>579</v>
      </c>
    </row>
    <row r="4" spans="2:43">
      <c r="C4" s="24" t="s">
        <v>238</v>
      </c>
      <c r="D4" s="24">
        <f>((86.5-17.4)*3.25)-(4.7*0.8*6)-(3.76*0.8*2)-(2.82*0.8)-(3*3.1)-(1.4*0.8)</f>
        <v>183.32299999999998</v>
      </c>
      <c r="E4" s="24">
        <f>(4.6+3.77+(7*2)+2.4+1.55+5.55+2.76+3.5+2.6+(1.84*2)+4.35+5.55+(1.7*2))*3.25</f>
        <v>187.55749999999998</v>
      </c>
      <c r="F4" s="24">
        <f>D4+E4</f>
        <v>370.88049999999998</v>
      </c>
      <c r="N4" s="31" t="s">
        <v>455</v>
      </c>
      <c r="O4" s="72">
        <v>3964.69</v>
      </c>
      <c r="P4" s="375" t="s">
        <v>580</v>
      </c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75"/>
      <c r="AC4" s="375"/>
      <c r="AD4" s="375"/>
      <c r="AE4" s="375"/>
      <c r="AF4" s="375"/>
      <c r="AG4" s="375"/>
      <c r="AH4" s="375"/>
      <c r="AI4" s="375"/>
      <c r="AJ4" s="71"/>
      <c r="AK4" s="71"/>
      <c r="AL4" s="71"/>
      <c r="AM4" s="71"/>
      <c r="AN4" s="71"/>
      <c r="AO4" s="71"/>
      <c r="AP4" s="71"/>
      <c r="AQ4" s="71"/>
    </row>
    <row r="5" spans="2:43">
      <c r="C5" s="24" t="s">
        <v>239</v>
      </c>
      <c r="D5" s="24">
        <f>D4</f>
        <v>183.32299999999998</v>
      </c>
      <c r="E5" s="24">
        <f>((4.6+(0.95*2)+(0.85*2)+1.5+5.05+4.45+1.5+3.5+(1.85*2)+2.6+2.76+5.55+1.55+4.35+7.65+4.35+2.04+3.1+2.11)*3.25)</f>
        <v>207.86999999999998</v>
      </c>
      <c r="F5" s="24">
        <f>D5+E5</f>
        <v>391.19299999999998</v>
      </c>
      <c r="N5" s="31" t="s">
        <v>456</v>
      </c>
      <c r="O5" s="72">
        <v>3999</v>
      </c>
      <c r="P5" s="375" t="s">
        <v>581</v>
      </c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71"/>
      <c r="AK5" s="71"/>
      <c r="AL5" s="71"/>
      <c r="AM5" s="71"/>
      <c r="AN5" s="71"/>
      <c r="AO5" s="71"/>
      <c r="AP5" s="71"/>
      <c r="AQ5" s="71"/>
    </row>
    <row r="6" spans="2:43">
      <c r="D6" s="24">
        <f>31.7*3</f>
        <v>95.1</v>
      </c>
      <c r="F6" s="24">
        <f>SUM(F3:F5)+D6+D7</f>
        <v>1370.1605</v>
      </c>
      <c r="G6">
        <f>F6/3.25</f>
        <v>421.58784615384616</v>
      </c>
      <c r="N6" s="31" t="s">
        <v>457</v>
      </c>
      <c r="O6" s="72">
        <v>3949.9</v>
      </c>
      <c r="P6" s="375" t="s">
        <v>582</v>
      </c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375"/>
      <c r="AQ6" s="375"/>
    </row>
    <row r="7" spans="2:43">
      <c r="D7" s="24">
        <f>((18-5.55)+(25.3-10)+18+25.3)*1.5</f>
        <v>106.57499999999999</v>
      </c>
      <c r="N7" s="73" t="s">
        <v>458</v>
      </c>
      <c r="O7" s="74">
        <f>SUM(O4:O6)/3</f>
        <v>3971.1966666666667</v>
      </c>
    </row>
    <row r="8" spans="2:43">
      <c r="B8" s="59"/>
      <c r="C8" s="59"/>
      <c r="D8" s="59"/>
      <c r="E8" s="59"/>
      <c r="F8" s="59"/>
      <c r="N8" s="376" t="s">
        <v>583</v>
      </c>
      <c r="O8" s="377"/>
      <c r="P8" s="377"/>
      <c r="Q8" s="378"/>
    </row>
    <row r="9" spans="2:43">
      <c r="B9" s="24" t="s">
        <v>240</v>
      </c>
      <c r="C9" s="24">
        <f>((10.2+5.25+(5.55*2)+(5.55*2)+2.55+5.14)*3.25)-(2.1*1.8*2)</f>
        <v>139.79499999999999</v>
      </c>
    </row>
    <row r="10" spans="2:43">
      <c r="C10" s="24">
        <f>(10.4+(0.9*2)+9.3+10.4+8.6+(3.15*2)+2.7+3.9+1.45+1.2+2.5)*3.25</f>
        <v>190.28750000000002</v>
      </c>
    </row>
    <row r="11" spans="2:43">
      <c r="C11" s="24">
        <f>SUM(C9:C10)</f>
        <v>330.08249999999998</v>
      </c>
    </row>
    <row r="13" spans="2:43">
      <c r="B13" s="24" t="s">
        <v>42</v>
      </c>
      <c r="C13" s="24" t="s">
        <v>242</v>
      </c>
      <c r="D13" s="373" t="s">
        <v>277</v>
      </c>
      <c r="E13" s="373"/>
      <c r="F13" s="24" t="s">
        <v>243</v>
      </c>
      <c r="G13" s="24" t="s">
        <v>233</v>
      </c>
      <c r="H13" s="24" t="s">
        <v>4</v>
      </c>
      <c r="I13" s="24" t="s">
        <v>276</v>
      </c>
    </row>
    <row r="14" spans="2:43">
      <c r="C14" s="24" t="s">
        <v>244</v>
      </c>
      <c r="D14" s="24">
        <v>4.7</v>
      </c>
      <c r="E14" s="24">
        <v>0.8</v>
      </c>
      <c r="F14" s="24">
        <f>ROUND(D14*E14,2)</f>
        <v>3.76</v>
      </c>
      <c r="G14" s="24">
        <v>7</v>
      </c>
      <c r="H14" s="24">
        <f>F14*G14</f>
        <v>26.32</v>
      </c>
      <c r="I14">
        <f>(D14+0.6)*G14</f>
        <v>37.1</v>
      </c>
    </row>
    <row r="15" spans="2:43">
      <c r="C15" s="24" t="s">
        <v>245</v>
      </c>
      <c r="D15" s="24">
        <v>4.7</v>
      </c>
      <c r="E15" s="24">
        <v>0.8</v>
      </c>
      <c r="F15" s="24">
        <f t="shared" ref="F15:F21" si="0">ROUND(D15*E15,2)</f>
        <v>3.76</v>
      </c>
      <c r="G15" s="24">
        <v>1</v>
      </c>
      <c r="H15" s="24">
        <f t="shared" ref="H15:H21" si="1">F15*G15</f>
        <v>3.76</v>
      </c>
      <c r="I15">
        <f t="shared" ref="I15:I21" si="2">(D15+0.6)*G15</f>
        <v>5.3</v>
      </c>
    </row>
    <row r="16" spans="2:43">
      <c r="C16" s="24" t="s">
        <v>270</v>
      </c>
      <c r="D16" s="24">
        <v>3.76</v>
      </c>
      <c r="E16" s="24">
        <v>0.8</v>
      </c>
      <c r="F16" s="24">
        <f t="shared" si="0"/>
        <v>3.01</v>
      </c>
      <c r="G16" s="24">
        <v>5</v>
      </c>
      <c r="H16" s="24">
        <f t="shared" si="1"/>
        <v>15.049999999999999</v>
      </c>
      <c r="I16">
        <f t="shared" si="2"/>
        <v>21.799999999999997</v>
      </c>
    </row>
    <row r="17" spans="3:10">
      <c r="C17" s="24" t="s">
        <v>271</v>
      </c>
      <c r="D17" s="24">
        <v>1.4</v>
      </c>
      <c r="E17" s="24">
        <v>0.8</v>
      </c>
      <c r="F17" s="24">
        <f t="shared" si="0"/>
        <v>1.1200000000000001</v>
      </c>
      <c r="G17" s="24">
        <v>3</v>
      </c>
      <c r="H17" s="24">
        <f t="shared" si="1"/>
        <v>3.3600000000000003</v>
      </c>
      <c r="I17">
        <f t="shared" si="2"/>
        <v>6</v>
      </c>
    </row>
    <row r="18" spans="3:10">
      <c r="C18" s="24" t="s">
        <v>272</v>
      </c>
      <c r="D18" s="24">
        <v>2.82</v>
      </c>
      <c r="E18" s="24">
        <v>0.8</v>
      </c>
      <c r="F18" s="24">
        <f t="shared" si="0"/>
        <v>2.2599999999999998</v>
      </c>
      <c r="G18" s="24">
        <v>2</v>
      </c>
      <c r="H18" s="24">
        <f t="shared" si="1"/>
        <v>4.5199999999999996</v>
      </c>
      <c r="I18">
        <f t="shared" si="2"/>
        <v>6.84</v>
      </c>
    </row>
    <row r="19" spans="3:10">
      <c r="C19" s="24" t="s">
        <v>273</v>
      </c>
      <c r="D19" s="24">
        <v>1.88</v>
      </c>
      <c r="E19" s="24">
        <v>0.8</v>
      </c>
      <c r="F19" s="24">
        <f t="shared" si="0"/>
        <v>1.5</v>
      </c>
      <c r="G19" s="24">
        <v>1</v>
      </c>
      <c r="H19" s="24">
        <f t="shared" si="1"/>
        <v>1.5</v>
      </c>
      <c r="I19">
        <f t="shared" si="2"/>
        <v>2.48</v>
      </c>
    </row>
    <row r="20" spans="3:10">
      <c r="C20" s="24" t="s">
        <v>274</v>
      </c>
      <c r="D20" s="24">
        <v>3</v>
      </c>
      <c r="E20" s="24">
        <v>2.08</v>
      </c>
      <c r="F20" s="24">
        <f t="shared" si="0"/>
        <v>6.24</v>
      </c>
      <c r="G20" s="24">
        <v>1</v>
      </c>
      <c r="H20" s="24">
        <f t="shared" si="1"/>
        <v>6.24</v>
      </c>
      <c r="I20">
        <f t="shared" si="2"/>
        <v>3.6</v>
      </c>
    </row>
    <row r="21" spans="3:10">
      <c r="C21" s="24" t="s">
        <v>275</v>
      </c>
      <c r="D21" s="24">
        <v>3</v>
      </c>
      <c r="E21" s="24">
        <v>3.11</v>
      </c>
      <c r="F21" s="24">
        <f t="shared" si="0"/>
        <v>9.33</v>
      </c>
      <c r="G21" s="24">
        <v>1</v>
      </c>
      <c r="H21" s="24">
        <f t="shared" si="1"/>
        <v>9.33</v>
      </c>
      <c r="I21">
        <f t="shared" si="2"/>
        <v>3.6</v>
      </c>
    </row>
    <row r="22" spans="3:10">
      <c r="H22" s="53">
        <f>SUM(H14:H21)</f>
        <v>70.08</v>
      </c>
      <c r="I22">
        <f>SUM(I14:I21)</f>
        <v>86.719999999999985</v>
      </c>
    </row>
    <row r="23" spans="3:10">
      <c r="G23" s="24">
        <v>1.8</v>
      </c>
      <c r="H23">
        <v>0.6</v>
      </c>
      <c r="I23">
        <v>2</v>
      </c>
      <c r="J23">
        <f>(G23+H23)*I23</f>
        <v>4.8</v>
      </c>
    </row>
    <row r="24" spans="3:10">
      <c r="G24" s="24">
        <v>2</v>
      </c>
      <c r="H24">
        <v>0.6</v>
      </c>
      <c r="I24">
        <v>2</v>
      </c>
      <c r="J24">
        <f t="shared" ref="J24:J27" si="3">(G24+H24)*I24</f>
        <v>5.2</v>
      </c>
    </row>
    <row r="25" spans="3:10">
      <c r="G25" s="24">
        <v>0.9</v>
      </c>
      <c r="H25">
        <v>0.6</v>
      </c>
      <c r="I25">
        <v>7</v>
      </c>
      <c r="J25">
        <f t="shared" si="3"/>
        <v>10.5</v>
      </c>
    </row>
    <row r="26" spans="3:10">
      <c r="G26" s="24">
        <v>0.8</v>
      </c>
      <c r="H26">
        <v>0.6</v>
      </c>
      <c r="I26">
        <v>3</v>
      </c>
      <c r="J26">
        <f t="shared" si="3"/>
        <v>4.1999999999999993</v>
      </c>
    </row>
    <row r="27" spans="3:10">
      <c r="G27" s="24">
        <v>0.95</v>
      </c>
      <c r="H27">
        <v>0.6</v>
      </c>
      <c r="I27">
        <v>6</v>
      </c>
      <c r="J27">
        <f t="shared" si="3"/>
        <v>9.2999999999999989</v>
      </c>
    </row>
    <row r="28" spans="3:10">
      <c r="I28" t="s">
        <v>307</v>
      </c>
      <c r="J28">
        <f>SUM(J25:J27)</f>
        <v>24</v>
      </c>
    </row>
    <row r="29" spans="3:10">
      <c r="I29" t="s">
        <v>308</v>
      </c>
      <c r="J29">
        <f>SUM(J23:J24)</f>
        <v>10</v>
      </c>
    </row>
    <row r="31" spans="3:10">
      <c r="C31" s="24" t="s">
        <v>309</v>
      </c>
    </row>
    <row r="32" spans="3:10">
      <c r="C32" s="24" t="s">
        <v>310</v>
      </c>
      <c r="D32" s="24">
        <f>280.19+4.21+5.87+6.8+10.21+36.72</f>
        <v>344</v>
      </c>
    </row>
    <row r="33" spans="2:15">
      <c r="D33" s="24">
        <f>321.64+15.73+2.7+3.43+11.7+5.87+28.59+4.21</f>
        <v>393.86999999999995</v>
      </c>
    </row>
    <row r="34" spans="2:15">
      <c r="D34" s="24">
        <f>136.03+50.6+8.51+12.29+31.15+55.52+4.8+4.21+12.57+4.21+5.87+22.04+8.88+30.19</f>
        <v>386.86999999999995</v>
      </c>
    </row>
    <row r="35" spans="2:15">
      <c r="D35" s="24">
        <f>SUM(D32:D34)</f>
        <v>1124.7399999999998</v>
      </c>
    </row>
    <row r="36" spans="2:15">
      <c r="B36" s="59"/>
      <c r="C36" s="59"/>
      <c r="D36" s="59"/>
      <c r="E36" s="59"/>
      <c r="F36" s="59"/>
    </row>
    <row r="37" spans="2:15">
      <c r="C37" s="24" t="s">
        <v>311</v>
      </c>
      <c r="D37" s="24">
        <f>(12.14+12.1+4.14)*3</f>
        <v>85.140000000000015</v>
      </c>
      <c r="E37" s="24">
        <f>D35+D37</f>
        <v>1209.8799999999999</v>
      </c>
    </row>
    <row r="40" spans="2:15">
      <c r="C40" s="24" t="s">
        <v>338</v>
      </c>
      <c r="D40" s="24">
        <f>(14.45+14.75+7.98+7.6+16.3+13.47+10.8+12.95)</f>
        <v>98.3</v>
      </c>
    </row>
    <row r="44" spans="2:15">
      <c r="C44" s="24" t="s">
        <v>339</v>
      </c>
      <c r="D44" s="24" t="s">
        <v>243</v>
      </c>
      <c r="E44" s="24" t="s">
        <v>340</v>
      </c>
      <c r="F44" s="24" t="s">
        <v>344</v>
      </c>
      <c r="G44" s="24" t="s">
        <v>369</v>
      </c>
      <c r="H44" s="24" t="s">
        <v>341</v>
      </c>
      <c r="I44" s="24" t="s">
        <v>311</v>
      </c>
      <c r="J44" s="24" t="s">
        <v>342</v>
      </c>
      <c r="K44" s="24" t="s">
        <v>338</v>
      </c>
      <c r="L44" s="24" t="s">
        <v>343</v>
      </c>
      <c r="M44" s="35" t="s">
        <v>404</v>
      </c>
      <c r="N44" s="53" t="s">
        <v>573</v>
      </c>
      <c r="O44" s="53" t="s">
        <v>574</v>
      </c>
    </row>
    <row r="45" spans="2:15">
      <c r="C45" s="24" t="s">
        <v>345</v>
      </c>
      <c r="D45" s="24">
        <v>280.19</v>
      </c>
      <c r="E45" s="24">
        <v>107.85</v>
      </c>
      <c r="F45" s="24">
        <v>3.25</v>
      </c>
      <c r="G45" s="24">
        <v>2.4500000000000002</v>
      </c>
      <c r="H45" s="24">
        <f>D45</f>
        <v>280.19</v>
      </c>
      <c r="I45" s="24"/>
      <c r="J45" s="24">
        <f>D45</f>
        <v>280.19</v>
      </c>
      <c r="K45" s="24">
        <f>E45*F45</f>
        <v>350.51249999999999</v>
      </c>
      <c r="L45" s="24"/>
    </row>
    <row r="46" spans="2:15">
      <c r="C46" s="24" t="s">
        <v>346</v>
      </c>
      <c r="D46" s="24">
        <v>10.210000000000001</v>
      </c>
      <c r="E46" s="24">
        <v>13.5</v>
      </c>
      <c r="F46" s="24">
        <v>3.25</v>
      </c>
      <c r="G46" s="24">
        <v>2.4500000000000002</v>
      </c>
      <c r="H46" s="24">
        <f>D46</f>
        <v>10.210000000000001</v>
      </c>
      <c r="I46" s="24"/>
      <c r="J46" s="24">
        <f>D46</f>
        <v>10.210000000000001</v>
      </c>
      <c r="K46" s="24">
        <f>E46*(F46-G46)</f>
        <v>10.799999999999997</v>
      </c>
      <c r="L46" s="24">
        <f>E46*G46</f>
        <v>33.075000000000003</v>
      </c>
      <c r="N46">
        <f>3.76*0.8</f>
        <v>3.008</v>
      </c>
      <c r="O46">
        <f>0.9*2.1</f>
        <v>1.8900000000000001</v>
      </c>
    </row>
    <row r="47" spans="2:15">
      <c r="C47" s="24" t="s">
        <v>347</v>
      </c>
      <c r="D47" s="24">
        <v>6.8</v>
      </c>
      <c r="E47" s="24">
        <v>10.8</v>
      </c>
      <c r="F47" s="24">
        <v>3.25</v>
      </c>
      <c r="G47" s="24">
        <v>2.4500000000000002</v>
      </c>
      <c r="H47" s="24"/>
      <c r="I47" s="24"/>
      <c r="J47" s="24">
        <f>D47</f>
        <v>6.8</v>
      </c>
      <c r="K47" s="24">
        <f>E47*(F47-G47)</f>
        <v>8.6399999999999988</v>
      </c>
      <c r="L47" s="24">
        <f>E47*G47</f>
        <v>26.460000000000004</v>
      </c>
      <c r="N47">
        <f>1.88*0.8</f>
        <v>1.504</v>
      </c>
      <c r="O47">
        <f>0.8*2.1</f>
        <v>1.6800000000000002</v>
      </c>
    </row>
    <row r="48" spans="2:15">
      <c r="C48" s="24" t="s">
        <v>348</v>
      </c>
      <c r="D48" s="24">
        <v>5.87</v>
      </c>
      <c r="E48" s="24">
        <v>13.3</v>
      </c>
      <c r="F48" s="24">
        <v>3.25</v>
      </c>
      <c r="G48" s="35">
        <v>2.4500000000000002</v>
      </c>
      <c r="H48" s="24"/>
      <c r="I48" s="24"/>
      <c r="J48" s="24">
        <f>D48</f>
        <v>5.87</v>
      </c>
      <c r="K48" s="24">
        <f>E48*F48</f>
        <v>43.225000000000001</v>
      </c>
      <c r="L48" s="24"/>
    </row>
    <row r="49" spans="3:15">
      <c r="C49" s="24" t="s">
        <v>349</v>
      </c>
      <c r="D49" s="24">
        <v>3.62</v>
      </c>
      <c r="E49" s="24">
        <v>7.98</v>
      </c>
      <c r="F49" s="24">
        <v>3.25</v>
      </c>
      <c r="G49" s="35">
        <v>2.4500000000000002</v>
      </c>
      <c r="H49" s="24"/>
      <c r="I49" s="24">
        <f>D49</f>
        <v>3.62</v>
      </c>
      <c r="J49" s="24"/>
      <c r="K49" s="24">
        <f>E49*(F49-G49)</f>
        <v>6.3839999999999986</v>
      </c>
      <c r="L49" s="24">
        <f>E49*G49</f>
        <v>19.551000000000002</v>
      </c>
      <c r="O49">
        <f>0.9*2.1</f>
        <v>1.8900000000000001</v>
      </c>
    </row>
    <row r="50" spans="3:15">
      <c r="C50" s="24" t="s">
        <v>350</v>
      </c>
      <c r="D50" s="24">
        <v>9.8000000000000007</v>
      </c>
      <c r="E50" s="24">
        <v>16.649999999999999</v>
      </c>
      <c r="F50" s="24">
        <v>3.25</v>
      </c>
      <c r="G50" s="35">
        <v>2.4500000000000002</v>
      </c>
      <c r="H50" s="24"/>
      <c r="I50" s="24">
        <f>D50</f>
        <v>9.8000000000000007</v>
      </c>
      <c r="J50" s="24"/>
      <c r="K50" s="24">
        <f t="shared" ref="K50:K51" si="4">E50*(F50-G50)</f>
        <v>13.319999999999997</v>
      </c>
      <c r="L50" s="24">
        <f t="shared" ref="L50:L51" si="5">E50*G50</f>
        <v>40.792499999999997</v>
      </c>
      <c r="N50">
        <f>4.7*0.8</f>
        <v>3.7600000000000002</v>
      </c>
    </row>
    <row r="51" spans="3:15">
      <c r="C51" s="24" t="s">
        <v>351</v>
      </c>
      <c r="D51" s="24">
        <v>9.7799999999999994</v>
      </c>
      <c r="E51" s="24">
        <v>14.75</v>
      </c>
      <c r="F51" s="24">
        <v>3.25</v>
      </c>
      <c r="G51" s="35">
        <v>2.4500000000000002</v>
      </c>
      <c r="H51" s="24"/>
      <c r="I51" s="24">
        <f>D51</f>
        <v>9.7799999999999994</v>
      </c>
      <c r="J51" s="24"/>
      <c r="K51" s="24">
        <f t="shared" si="4"/>
        <v>11.799999999999997</v>
      </c>
      <c r="L51" s="24">
        <f t="shared" si="5"/>
        <v>36.137500000000003</v>
      </c>
    </row>
    <row r="52" spans="3:15">
      <c r="C52" s="24" t="s">
        <v>352</v>
      </c>
      <c r="D52" s="24">
        <v>4.21</v>
      </c>
      <c r="E52" s="24">
        <v>8.4</v>
      </c>
      <c r="F52" s="24">
        <v>3.25</v>
      </c>
      <c r="G52" s="35">
        <v>2.4500000000000002</v>
      </c>
      <c r="H52" s="24"/>
      <c r="I52" s="24"/>
      <c r="J52" s="24"/>
      <c r="K52" s="24">
        <f>E52*F52</f>
        <v>27.3</v>
      </c>
      <c r="L52" s="24"/>
      <c r="N52">
        <f>1.8*0.8</f>
        <v>1.4400000000000002</v>
      </c>
      <c r="O52">
        <f>0.8*2.1</f>
        <v>1.6800000000000002</v>
      </c>
    </row>
    <row r="53" spans="3:15">
      <c r="C53" s="24" t="s">
        <v>353</v>
      </c>
      <c r="D53" s="24">
        <v>3.06</v>
      </c>
      <c r="E53" s="24">
        <v>7</v>
      </c>
      <c r="F53" s="24">
        <v>3.25</v>
      </c>
      <c r="G53" s="35">
        <v>2.4500000000000002</v>
      </c>
      <c r="H53" s="24"/>
      <c r="I53" s="24"/>
      <c r="J53" s="24">
        <f t="shared" ref="J53:J63" si="6">D53</f>
        <v>3.06</v>
      </c>
      <c r="K53" s="24"/>
      <c r="L53" s="24"/>
    </row>
    <row r="54" spans="3:15">
      <c r="C54" s="24" t="s">
        <v>354</v>
      </c>
      <c r="D54" s="24">
        <v>7.79</v>
      </c>
      <c r="E54" s="24">
        <v>11.38</v>
      </c>
      <c r="F54" s="24">
        <v>3.25</v>
      </c>
      <c r="G54" s="35">
        <v>2.4500000000000002</v>
      </c>
      <c r="H54" s="24"/>
      <c r="I54" s="24"/>
      <c r="J54" s="24">
        <f t="shared" si="6"/>
        <v>7.79</v>
      </c>
      <c r="K54" s="24">
        <f>E54*F54</f>
        <v>36.984999999999999</v>
      </c>
      <c r="L54" s="24"/>
    </row>
    <row r="55" spans="3:15">
      <c r="C55" s="24" t="s">
        <v>355</v>
      </c>
      <c r="D55" s="24">
        <v>28.91</v>
      </c>
      <c r="F55" s="24">
        <v>3.25</v>
      </c>
      <c r="G55" s="35">
        <v>2.4500000000000002</v>
      </c>
      <c r="H55" s="24"/>
      <c r="I55" s="24"/>
      <c r="J55" s="24">
        <f t="shared" si="6"/>
        <v>28.91</v>
      </c>
      <c r="K55" s="24">
        <f>E55*F55</f>
        <v>0</v>
      </c>
      <c r="L55" s="24"/>
    </row>
    <row r="56" spans="3:15">
      <c r="C56" s="24" t="s">
        <v>356</v>
      </c>
      <c r="D56" s="24">
        <v>174.21</v>
      </c>
      <c r="E56" s="24">
        <v>55.7</v>
      </c>
      <c r="F56" s="24">
        <v>3.25</v>
      </c>
      <c r="G56" s="35">
        <v>2.4500000000000002</v>
      </c>
      <c r="H56" s="24"/>
      <c r="I56" s="24"/>
      <c r="J56" s="24">
        <f t="shared" si="6"/>
        <v>174.21</v>
      </c>
      <c r="K56" s="24">
        <f>E56*F56</f>
        <v>181.02500000000001</v>
      </c>
      <c r="L56" s="24"/>
      <c r="N56">
        <f>(F18*5)+F14</f>
        <v>15.059999999999999</v>
      </c>
    </row>
    <row r="57" spans="3:15">
      <c r="D57" s="24">
        <v>47.24</v>
      </c>
      <c r="E57" s="24">
        <v>28.64</v>
      </c>
      <c r="F57" s="24">
        <v>3.25</v>
      </c>
      <c r="G57" s="35">
        <v>2.4500000000000002</v>
      </c>
      <c r="H57" s="24"/>
      <c r="I57" s="24"/>
      <c r="J57" s="24">
        <f t="shared" si="6"/>
        <v>47.24</v>
      </c>
      <c r="K57" s="24">
        <f>E57*F57</f>
        <v>93.08</v>
      </c>
      <c r="L57" s="24"/>
    </row>
    <row r="58" spans="3:15">
      <c r="C58" s="24">
        <f>SUM(D56:D58)</f>
        <v>321.8</v>
      </c>
      <c r="D58" s="24">
        <v>100.35</v>
      </c>
      <c r="E58" s="24">
        <v>40.700000000000003</v>
      </c>
      <c r="F58" s="24">
        <v>3.25</v>
      </c>
      <c r="G58" s="35">
        <v>2.4500000000000002</v>
      </c>
      <c r="H58" s="24"/>
      <c r="I58" s="24"/>
      <c r="J58" s="24">
        <f t="shared" si="6"/>
        <v>100.35</v>
      </c>
      <c r="K58" s="24">
        <f>E58*F58</f>
        <v>132.27500000000001</v>
      </c>
      <c r="L58" s="24"/>
    </row>
    <row r="59" spans="3:15">
      <c r="C59" s="24" t="s">
        <v>347</v>
      </c>
      <c r="D59" s="24">
        <v>13.07</v>
      </c>
      <c r="E59" s="24">
        <v>16.3</v>
      </c>
      <c r="F59" s="24">
        <v>3.25</v>
      </c>
      <c r="G59" s="35">
        <v>2.4500000000000002</v>
      </c>
      <c r="H59" s="24"/>
      <c r="I59" s="24"/>
      <c r="J59" s="24">
        <f t="shared" si="6"/>
        <v>13.07</v>
      </c>
      <c r="K59" s="24">
        <f>E59*(F59-G59)</f>
        <v>13.039999999999997</v>
      </c>
      <c r="L59" s="24">
        <f t="shared" ref="L59" si="7">E59*G59</f>
        <v>39.935000000000002</v>
      </c>
      <c r="N59">
        <f>F18</f>
        <v>2.2599999999999998</v>
      </c>
      <c r="O59">
        <f>0.9*2.1</f>
        <v>1.8900000000000001</v>
      </c>
    </row>
    <row r="60" spans="3:15">
      <c r="C60" s="24" t="s">
        <v>357</v>
      </c>
      <c r="D60" s="24">
        <v>11.7</v>
      </c>
      <c r="E60" s="24">
        <v>15.7</v>
      </c>
      <c r="F60" s="24">
        <v>3.25</v>
      </c>
      <c r="G60" s="35">
        <v>2.4500000000000002</v>
      </c>
      <c r="H60" s="24"/>
      <c r="I60" s="24"/>
      <c r="J60" s="24">
        <f t="shared" si="6"/>
        <v>11.7</v>
      </c>
      <c r="K60" s="24">
        <f>E60*F60</f>
        <v>51.024999999999999</v>
      </c>
      <c r="L60" s="24"/>
    </row>
    <row r="61" spans="3:15">
      <c r="C61" s="24" t="s">
        <v>358</v>
      </c>
      <c r="D61" s="24">
        <v>3.43</v>
      </c>
      <c r="E61" s="24">
        <v>7.6</v>
      </c>
      <c r="F61" s="24">
        <v>3.25</v>
      </c>
      <c r="G61" s="35">
        <v>2.4500000000000002</v>
      </c>
      <c r="H61" s="24"/>
      <c r="I61" s="24"/>
      <c r="J61" s="24">
        <f t="shared" si="6"/>
        <v>3.43</v>
      </c>
      <c r="K61" s="24">
        <f>E61*(F61-G61)</f>
        <v>6.0799999999999983</v>
      </c>
      <c r="L61" s="24">
        <f t="shared" ref="L61" si="8">E61*G61</f>
        <v>18.62</v>
      </c>
      <c r="N61">
        <f>1.61*0.8</f>
        <v>1.2880000000000003</v>
      </c>
      <c r="O61">
        <f>0.9*2.1</f>
        <v>1.8900000000000001</v>
      </c>
    </row>
    <row r="62" spans="3:15">
      <c r="C62" s="24" t="s">
        <v>348</v>
      </c>
      <c r="D62" s="24">
        <v>40.729999999999997</v>
      </c>
      <c r="E62" s="24">
        <v>37.75</v>
      </c>
      <c r="F62" s="24">
        <v>3.25</v>
      </c>
      <c r="G62" s="35">
        <v>2.4500000000000002</v>
      </c>
      <c r="H62" s="24"/>
      <c r="I62" s="24"/>
      <c r="J62" s="24">
        <f t="shared" si="6"/>
        <v>40.729999999999997</v>
      </c>
      <c r="K62" s="24">
        <f>E62*F62</f>
        <v>122.6875</v>
      </c>
      <c r="L62" s="24"/>
    </row>
    <row r="63" spans="3:15">
      <c r="C63" s="24" t="s">
        <v>352</v>
      </c>
      <c r="D63" s="24">
        <v>4.21</v>
      </c>
      <c r="E63" s="24">
        <v>8.4</v>
      </c>
      <c r="F63" s="24">
        <v>3.25</v>
      </c>
      <c r="G63" s="35">
        <v>2.4500000000000002</v>
      </c>
      <c r="H63" s="24"/>
      <c r="I63" s="24"/>
      <c r="J63" s="24">
        <f t="shared" si="6"/>
        <v>4.21</v>
      </c>
      <c r="K63" s="24">
        <f>E63*F63</f>
        <v>27.3</v>
      </c>
      <c r="L63" s="24"/>
    </row>
    <row r="64" spans="3:15">
      <c r="C64" s="24" t="s">
        <v>353</v>
      </c>
      <c r="D64" s="24">
        <v>3.06</v>
      </c>
      <c r="E64" s="24">
        <v>7</v>
      </c>
      <c r="F64" s="24">
        <v>3.25</v>
      </c>
      <c r="G64" s="35">
        <v>2.4500000000000002</v>
      </c>
      <c r="H64" s="24"/>
      <c r="I64" s="24"/>
      <c r="J64" s="24"/>
      <c r="K64" s="24">
        <f>E64*(F64-G64)</f>
        <v>5.5999999999999988</v>
      </c>
      <c r="L64" s="24">
        <f t="shared" ref="L64:L67" si="9">E64*G64</f>
        <v>17.150000000000002</v>
      </c>
    </row>
    <row r="65" spans="3:15">
      <c r="C65" s="24" t="s">
        <v>349</v>
      </c>
      <c r="D65" s="24">
        <v>3.62</v>
      </c>
      <c r="E65" s="24">
        <v>7.98</v>
      </c>
      <c r="F65" s="24">
        <v>3.25</v>
      </c>
      <c r="G65" s="35">
        <v>2.4500000000000002</v>
      </c>
      <c r="H65" s="24"/>
      <c r="I65" s="24">
        <f>D65</f>
        <v>3.62</v>
      </c>
      <c r="J65" s="24"/>
      <c r="K65" s="24">
        <f>E65*(F65-G65)</f>
        <v>6.3839999999999986</v>
      </c>
      <c r="L65" s="24">
        <f t="shared" si="9"/>
        <v>19.551000000000002</v>
      </c>
    </row>
    <row r="66" spans="3:15">
      <c r="C66" s="24" t="s">
        <v>350</v>
      </c>
      <c r="D66" s="24">
        <v>9.8000000000000007</v>
      </c>
      <c r="E66" s="24">
        <v>16.649999999999999</v>
      </c>
      <c r="F66" s="24">
        <v>3.25</v>
      </c>
      <c r="G66" s="35">
        <v>2.4500000000000002</v>
      </c>
      <c r="H66" s="24"/>
      <c r="I66" s="24">
        <f>D66</f>
        <v>9.8000000000000007</v>
      </c>
      <c r="J66" s="24"/>
      <c r="K66" s="24">
        <f>E66*(F66-G66)</f>
        <v>13.319999999999997</v>
      </c>
      <c r="L66" s="24">
        <f t="shared" si="9"/>
        <v>40.792499999999997</v>
      </c>
      <c r="N66">
        <f>N50</f>
        <v>3.7600000000000002</v>
      </c>
    </row>
    <row r="67" spans="3:15">
      <c r="C67" s="24" t="s">
        <v>351</v>
      </c>
      <c r="D67" s="24">
        <v>9.7799999999999994</v>
      </c>
      <c r="E67" s="24">
        <v>14.75</v>
      </c>
      <c r="F67" s="24">
        <v>3.25</v>
      </c>
      <c r="G67" s="35">
        <v>2.4500000000000002</v>
      </c>
      <c r="H67" s="24"/>
      <c r="I67" s="24">
        <f>D67</f>
        <v>9.7799999999999994</v>
      </c>
      <c r="J67" s="24"/>
      <c r="K67" s="24">
        <f>E67*(F67-G67)</f>
        <v>11.799999999999997</v>
      </c>
      <c r="L67" s="24">
        <f t="shared" si="9"/>
        <v>36.137500000000003</v>
      </c>
    </row>
    <row r="68" spans="3:15">
      <c r="C68" s="24" t="s">
        <v>359</v>
      </c>
      <c r="D68" s="24">
        <v>134.78</v>
      </c>
      <c r="E68" s="24">
        <v>48.25</v>
      </c>
      <c r="F68" s="24">
        <v>3.25</v>
      </c>
      <c r="G68" s="35">
        <v>2.4500000000000002</v>
      </c>
      <c r="H68" s="24"/>
      <c r="I68" s="24"/>
      <c r="J68" s="24">
        <f t="shared" ref="J68:J77" si="10">D68</f>
        <v>134.78</v>
      </c>
      <c r="K68" s="24">
        <f t="shared" ref="K68:K73" si="11">E68*F68</f>
        <v>156.8125</v>
      </c>
      <c r="L68" s="24"/>
    </row>
    <row r="69" spans="3:15">
      <c r="C69" s="24" t="s">
        <v>360</v>
      </c>
      <c r="D69" s="24">
        <v>30.02</v>
      </c>
      <c r="E69" s="24">
        <v>27</v>
      </c>
      <c r="F69" s="24">
        <v>3.25</v>
      </c>
      <c r="G69" s="35">
        <v>2.4500000000000002</v>
      </c>
      <c r="J69" s="24">
        <f t="shared" si="10"/>
        <v>30.02</v>
      </c>
      <c r="K69" s="24">
        <f t="shared" si="11"/>
        <v>87.75</v>
      </c>
      <c r="L69" s="24"/>
    </row>
    <row r="70" spans="3:15">
      <c r="C70" s="24" t="s">
        <v>361</v>
      </c>
      <c r="D70" s="24">
        <v>50.69</v>
      </c>
      <c r="E70" s="24">
        <v>29</v>
      </c>
      <c r="F70" s="24">
        <v>3.25</v>
      </c>
      <c r="G70" s="35">
        <v>2.4500000000000002</v>
      </c>
      <c r="J70" s="24">
        <f t="shared" si="10"/>
        <v>50.69</v>
      </c>
      <c r="K70" s="24">
        <f t="shared" si="11"/>
        <v>94.25</v>
      </c>
      <c r="L70" s="24"/>
    </row>
    <row r="71" spans="3:15">
      <c r="C71" s="24" t="s">
        <v>362</v>
      </c>
      <c r="D71" s="24">
        <v>12.29</v>
      </c>
      <c r="E71" s="24">
        <v>14.1</v>
      </c>
      <c r="F71" s="24">
        <v>3.25</v>
      </c>
      <c r="G71" s="35">
        <v>2.4500000000000002</v>
      </c>
      <c r="J71" s="24">
        <f t="shared" si="10"/>
        <v>12.29</v>
      </c>
      <c r="K71" s="24">
        <f t="shared" si="11"/>
        <v>45.824999999999996</v>
      </c>
      <c r="L71" s="24"/>
    </row>
    <row r="72" spans="3:15">
      <c r="C72" s="24" t="s">
        <v>363</v>
      </c>
      <c r="D72" s="24">
        <v>8.5</v>
      </c>
      <c r="E72" s="24">
        <v>11.7</v>
      </c>
      <c r="F72" s="24">
        <v>3.25</v>
      </c>
      <c r="G72" s="35">
        <v>2.4500000000000002</v>
      </c>
      <c r="J72" s="24">
        <f t="shared" si="10"/>
        <v>8.5</v>
      </c>
      <c r="K72" s="24">
        <f t="shared" si="11"/>
        <v>38.024999999999999</v>
      </c>
      <c r="L72" s="24"/>
    </row>
    <row r="73" spans="3:15">
      <c r="C73" s="24" t="s">
        <v>364</v>
      </c>
      <c r="D73" s="24">
        <v>31.19</v>
      </c>
      <c r="E73" s="24">
        <v>24.7</v>
      </c>
      <c r="F73" s="24">
        <v>3.25</v>
      </c>
      <c r="G73" s="35">
        <v>2.4500000000000002</v>
      </c>
      <c r="J73" s="24">
        <f t="shared" si="10"/>
        <v>31.19</v>
      </c>
      <c r="K73" s="24">
        <f t="shared" si="11"/>
        <v>80.274999999999991</v>
      </c>
      <c r="L73" s="24"/>
    </row>
    <row r="74" spans="3:15">
      <c r="C74" s="24" t="s">
        <v>365</v>
      </c>
      <c r="D74" s="24">
        <v>4.33</v>
      </c>
      <c r="E74" s="24">
        <v>8.67</v>
      </c>
      <c r="F74" s="24">
        <v>3.25</v>
      </c>
      <c r="G74" s="35">
        <v>2.4500000000000002</v>
      </c>
      <c r="J74" s="24">
        <f t="shared" si="10"/>
        <v>4.33</v>
      </c>
      <c r="K74" s="24">
        <f>E74*(F74-G74)</f>
        <v>6.9359999999999982</v>
      </c>
      <c r="L74" s="24">
        <f t="shared" ref="L74:L75" si="12">E74*G74</f>
        <v>21.241500000000002</v>
      </c>
      <c r="N74">
        <f>0.94*0.8</f>
        <v>0.752</v>
      </c>
      <c r="O74">
        <f>0.9*2.1</f>
        <v>1.8900000000000001</v>
      </c>
    </row>
    <row r="75" spans="3:15">
      <c r="C75" s="24" t="s">
        <v>366</v>
      </c>
      <c r="D75" s="24">
        <v>4.8</v>
      </c>
      <c r="E75" s="24">
        <v>9.3000000000000007</v>
      </c>
      <c r="F75" s="24">
        <v>3.25</v>
      </c>
      <c r="G75" s="35">
        <v>2.4500000000000002</v>
      </c>
      <c r="J75" s="24">
        <f t="shared" si="10"/>
        <v>4.8</v>
      </c>
      <c r="K75" s="24">
        <f>E75*(F75-G75)</f>
        <v>7.4399999999999986</v>
      </c>
      <c r="L75" s="24">
        <f t="shared" si="12"/>
        <v>22.785000000000004</v>
      </c>
      <c r="O75">
        <f>0.9*2.1</f>
        <v>1.8900000000000001</v>
      </c>
    </row>
    <row r="76" spans="3:15">
      <c r="C76" s="24" t="s">
        <v>367</v>
      </c>
      <c r="D76" s="24">
        <v>17.62</v>
      </c>
      <c r="E76" s="24">
        <v>19.920000000000002</v>
      </c>
      <c r="F76" s="24">
        <v>3.25</v>
      </c>
      <c r="G76" s="35">
        <v>2.4500000000000002</v>
      </c>
      <c r="J76" s="24">
        <f t="shared" si="10"/>
        <v>17.62</v>
      </c>
      <c r="K76" s="24">
        <f>E76*F76</f>
        <v>64.740000000000009</v>
      </c>
      <c r="L76" s="24"/>
    </row>
    <row r="77" spans="3:15">
      <c r="C77" s="24" t="s">
        <v>348</v>
      </c>
      <c r="D77" s="24">
        <v>63.7</v>
      </c>
      <c r="E77" s="24">
        <v>58.4</v>
      </c>
      <c r="F77" s="24">
        <v>3.25</v>
      </c>
      <c r="G77" s="35">
        <v>2.4500000000000002</v>
      </c>
      <c r="J77" s="24">
        <f t="shared" si="10"/>
        <v>63.7</v>
      </c>
      <c r="K77" s="24">
        <f>E77*F77</f>
        <v>189.79999999999998</v>
      </c>
      <c r="L77" s="24"/>
    </row>
    <row r="78" spans="3:15">
      <c r="C78" s="24" t="s">
        <v>349</v>
      </c>
      <c r="D78" s="24">
        <v>3.62</v>
      </c>
      <c r="E78" s="24">
        <v>7.98</v>
      </c>
      <c r="F78" s="24">
        <v>3.25</v>
      </c>
      <c r="G78" s="35">
        <v>2.4500000000000002</v>
      </c>
      <c r="H78" s="24"/>
      <c r="I78" s="24">
        <f>D78</f>
        <v>3.62</v>
      </c>
      <c r="J78" s="24"/>
      <c r="K78" s="24">
        <f>E78*(F78-G78)</f>
        <v>6.3839999999999986</v>
      </c>
      <c r="L78" s="24">
        <f t="shared" ref="L78:L82" si="13">E78*G78</f>
        <v>19.551000000000002</v>
      </c>
    </row>
    <row r="79" spans="3:15">
      <c r="C79" s="24" t="s">
        <v>350</v>
      </c>
      <c r="D79" s="24">
        <v>9.8000000000000007</v>
      </c>
      <c r="E79" s="24">
        <v>16.649999999999999</v>
      </c>
      <c r="F79" s="24">
        <v>3.25</v>
      </c>
      <c r="G79" s="35">
        <v>2.4500000000000002</v>
      </c>
      <c r="H79" s="24"/>
      <c r="I79" s="24">
        <f>D79</f>
        <v>9.8000000000000007</v>
      </c>
      <c r="J79" s="24"/>
      <c r="K79" s="24">
        <f t="shared" ref="K79:K82" si="14">E79*(F79-G79)</f>
        <v>13.319999999999997</v>
      </c>
      <c r="L79" s="24">
        <f t="shared" si="13"/>
        <v>40.792499999999997</v>
      </c>
      <c r="N79">
        <v>3.76</v>
      </c>
    </row>
    <row r="80" spans="3:15">
      <c r="C80" s="24" t="s">
        <v>351</v>
      </c>
      <c r="D80" s="24">
        <v>9.7799999999999994</v>
      </c>
      <c r="E80" s="24">
        <v>14.75</v>
      </c>
      <c r="F80" s="24">
        <v>3.25</v>
      </c>
      <c r="G80" s="35">
        <v>2.4500000000000002</v>
      </c>
      <c r="H80" s="24"/>
      <c r="I80" s="24">
        <f>D80</f>
        <v>9.7799999999999994</v>
      </c>
      <c r="J80" s="24"/>
      <c r="K80" s="24">
        <f t="shared" si="14"/>
        <v>11.799999999999997</v>
      </c>
      <c r="L80" s="24">
        <f t="shared" si="13"/>
        <v>36.137500000000003</v>
      </c>
    </row>
    <row r="81" spans="2:15">
      <c r="C81" s="24" t="s">
        <v>368</v>
      </c>
      <c r="D81" s="24">
        <v>21.72</v>
      </c>
      <c r="E81" s="24">
        <v>25.08</v>
      </c>
      <c r="F81" s="24">
        <v>3.25</v>
      </c>
      <c r="G81" s="35">
        <v>2.4500000000000002</v>
      </c>
      <c r="J81" s="35">
        <f t="shared" ref="J81:J82" si="15">D81</f>
        <v>21.72</v>
      </c>
      <c r="K81" s="24">
        <f>E81*F81</f>
        <v>81.509999999999991</v>
      </c>
      <c r="L81" s="24"/>
      <c r="N81">
        <f>F18</f>
        <v>2.2599999999999998</v>
      </c>
      <c r="O81">
        <f>1*2.1</f>
        <v>2.1</v>
      </c>
    </row>
    <row r="82" spans="2:15">
      <c r="C82" s="24" t="s">
        <v>347</v>
      </c>
      <c r="D82" s="24">
        <v>8.8800000000000008</v>
      </c>
      <c r="E82" s="24">
        <v>12.9</v>
      </c>
      <c r="F82" s="24">
        <v>3.25</v>
      </c>
      <c r="G82" s="35">
        <v>2.4500000000000002</v>
      </c>
      <c r="J82" s="35">
        <f t="shared" si="15"/>
        <v>8.8800000000000008</v>
      </c>
      <c r="K82" s="24">
        <f t="shared" si="14"/>
        <v>10.319999999999999</v>
      </c>
      <c r="L82" s="24">
        <f t="shared" si="13"/>
        <v>31.605000000000004</v>
      </c>
      <c r="N82">
        <f>F16</f>
        <v>3.01</v>
      </c>
      <c r="O82">
        <f>0.9*2.1</f>
        <v>1.8900000000000001</v>
      </c>
    </row>
    <row r="83" spans="2:15">
      <c r="C83" s="24" t="s">
        <v>353</v>
      </c>
      <c r="D83" s="24">
        <v>3.06</v>
      </c>
      <c r="E83" s="24">
        <v>7</v>
      </c>
      <c r="F83" s="24">
        <v>3.25</v>
      </c>
      <c r="G83" s="35">
        <v>2.4500000000000002</v>
      </c>
      <c r="J83" s="35"/>
      <c r="K83" s="24"/>
      <c r="L83" s="24"/>
      <c r="N83">
        <f>SUM(N45:N82)</f>
        <v>41.861999999999995</v>
      </c>
      <c r="O83">
        <f>SUM(O45:O82)</f>
        <v>18.690000000000005</v>
      </c>
    </row>
    <row r="84" spans="2:15">
      <c r="I84">
        <f>SUM(I45:I83)</f>
        <v>69.600000000000009</v>
      </c>
      <c r="J84">
        <f>SUM(J45:J83)</f>
        <v>1126.2900000000004</v>
      </c>
      <c r="K84">
        <f>SUM(K45:K83)</f>
        <v>2067.7705000000001</v>
      </c>
      <c r="L84">
        <f>SUM(L45:L83)</f>
        <v>500.31450000000012</v>
      </c>
    </row>
    <row r="85" spans="2:15">
      <c r="C85" s="373" t="s">
        <v>403</v>
      </c>
      <c r="D85" s="373"/>
      <c r="J85">
        <f>17.4*3.25*2</f>
        <v>113.1</v>
      </c>
      <c r="K85">
        <f>K84-J85</f>
        <v>1954.6705000000002</v>
      </c>
      <c r="L85">
        <f>L84-N83-O83</f>
        <v>439.7625000000001</v>
      </c>
    </row>
    <row r="86" spans="2:15">
      <c r="C86" s="24" t="s">
        <v>400</v>
      </c>
      <c r="D86" s="24">
        <f>13.5*2</f>
        <v>27</v>
      </c>
    </row>
    <row r="87" spans="2:15">
      <c r="C87" s="24" t="s">
        <v>401</v>
      </c>
      <c r="D87" s="24">
        <f>1.5*21*2*0.175</f>
        <v>11.024999999999999</v>
      </c>
      <c r="L87" t="s">
        <v>607</v>
      </c>
    </row>
    <row r="88" spans="2:15">
      <c r="C88" s="24" t="s">
        <v>402</v>
      </c>
      <c r="D88" s="24">
        <f>J84+D87+D86</f>
        <v>1164.3150000000005</v>
      </c>
    </row>
    <row r="93" spans="2:15">
      <c r="C93" s="24" t="s">
        <v>410</v>
      </c>
      <c r="D93" s="24">
        <f>D55+D54+D56+D57+D58+D59+D60+D61+D62+D63+D65+D66+D67+D68+D69+D70+D71+D72+D73+D74+D75+D76+D77+D78+D79+D80+D81+D82</f>
        <v>866.56</v>
      </c>
    </row>
    <row r="94" spans="2:15">
      <c r="B94" s="35"/>
      <c r="C94" s="24" t="s">
        <v>405</v>
      </c>
      <c r="D94" s="24">
        <f>857.1-455.39-D96</f>
        <v>358.09000000000003</v>
      </c>
      <c r="E94" s="35"/>
      <c r="F94" s="35"/>
    </row>
    <row r="95" spans="2:15">
      <c r="B95" s="35"/>
      <c r="C95" s="35" t="s">
        <v>416</v>
      </c>
      <c r="D95" s="35">
        <f>6.53+1.2+3.97+1.96+10.2+5.17</f>
        <v>29.03</v>
      </c>
      <c r="E95" s="35"/>
      <c r="F95" s="35"/>
    </row>
    <row r="96" spans="2:15">
      <c r="C96" s="24" t="s">
        <v>413</v>
      </c>
      <c r="D96" s="24">
        <f>13.34+1.33+1.96+2.2+1.5+1.9+2.05+1.44+1.82+1.53+1+1.6+1.84+1.16+1.48+1.72+1.12+1.48+1.36+1.79</f>
        <v>43.61999999999999</v>
      </c>
    </row>
    <row r="97" spans="3:6">
      <c r="C97" s="24" t="s">
        <v>414</v>
      </c>
      <c r="D97" s="24">
        <v>32.270000000000003</v>
      </c>
    </row>
    <row r="98" spans="3:6">
      <c r="C98" s="24" t="s">
        <v>415</v>
      </c>
      <c r="D98" s="24">
        <f>D96+D97</f>
        <v>75.889999999999986</v>
      </c>
    </row>
    <row r="100" spans="3:6">
      <c r="D100" s="24">
        <f>D94+D95</f>
        <v>387.12</v>
      </c>
    </row>
    <row r="102" spans="3:6">
      <c r="D102" s="24" t="s">
        <v>496</v>
      </c>
      <c r="E102" s="24" t="s">
        <v>497</v>
      </c>
    </row>
    <row r="103" spans="3:6">
      <c r="C103" s="24" t="s">
        <v>495</v>
      </c>
      <c r="D103" s="24">
        <f>1.19*12</f>
        <v>14.28</v>
      </c>
      <c r="E103" s="24">
        <v>1.95</v>
      </c>
      <c r="F103" s="24">
        <f>D103*E103</f>
        <v>27.845999999999997</v>
      </c>
    </row>
    <row r="104" spans="3:6">
      <c r="D104" s="24">
        <f>(2.76-(0.6*3))*6</f>
        <v>5.76</v>
      </c>
      <c r="E104" s="24">
        <v>1.95</v>
      </c>
      <c r="F104" s="49">
        <f>D104*E104</f>
        <v>11.231999999999999</v>
      </c>
    </row>
    <row r="105" spans="3:6">
      <c r="F105" s="24">
        <f>SUM(F103:F104)</f>
        <v>39.077999999999996</v>
      </c>
    </row>
  </sheetData>
  <mergeCells count="7">
    <mergeCell ref="D13:E13"/>
    <mergeCell ref="C85:D85"/>
    <mergeCell ref="N3:O3"/>
    <mergeCell ref="P4:AI4"/>
    <mergeCell ref="P5:AI5"/>
    <mergeCell ref="P6:AQ6"/>
    <mergeCell ref="N8:Q8"/>
  </mergeCells>
  <hyperlinks>
    <hyperlink ref="P4" r:id="rId1"/>
    <hyperlink ref="P5" r:id="rId2"/>
    <hyperlink ref="P6" r:id="rId3"/>
  </hyperlinks>
  <pageMargins left="0.511811024" right="0.511811024" top="0.78740157499999996" bottom="0.78740157499999996" header="0.31496062000000002" footer="0.31496062000000002"/>
  <pageSetup paperSize="9" orientation="portrait"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C3" sqref="C3:F3"/>
    </sheetView>
  </sheetViews>
  <sheetFormatPr defaultRowHeight="15"/>
  <cols>
    <col min="1" max="1" width="1.7109375" customWidth="1"/>
    <col min="2" max="2" width="24.42578125" bestFit="1" customWidth="1"/>
    <col min="3" max="5" width="10.7109375" customWidth="1"/>
    <col min="6" max="6" width="17.7109375" customWidth="1"/>
    <col min="7" max="7" width="9" customWidth="1"/>
    <col min="8" max="8" width="12.85546875" customWidth="1"/>
    <col min="257" max="257" width="1.7109375" customWidth="1"/>
    <col min="258" max="258" width="24.42578125" bestFit="1" customWidth="1"/>
    <col min="259" max="261" width="10.7109375" customWidth="1"/>
    <col min="262" max="262" width="17.7109375" customWidth="1"/>
    <col min="263" max="263" width="9" customWidth="1"/>
    <col min="264" max="264" width="12.85546875" customWidth="1"/>
    <col min="513" max="513" width="1.7109375" customWidth="1"/>
    <col min="514" max="514" width="24.42578125" bestFit="1" customWidth="1"/>
    <col min="515" max="517" width="10.7109375" customWidth="1"/>
    <col min="518" max="518" width="17.7109375" customWidth="1"/>
    <col min="519" max="519" width="9" customWidth="1"/>
    <col min="520" max="520" width="12.85546875" customWidth="1"/>
    <col min="769" max="769" width="1.7109375" customWidth="1"/>
    <col min="770" max="770" width="24.42578125" bestFit="1" customWidth="1"/>
    <col min="771" max="773" width="10.7109375" customWidth="1"/>
    <col min="774" max="774" width="17.7109375" customWidth="1"/>
    <col min="775" max="775" width="9" customWidth="1"/>
    <col min="776" max="776" width="12.85546875" customWidth="1"/>
    <col min="1025" max="1025" width="1.7109375" customWidth="1"/>
    <col min="1026" max="1026" width="24.42578125" bestFit="1" customWidth="1"/>
    <col min="1027" max="1029" width="10.7109375" customWidth="1"/>
    <col min="1030" max="1030" width="17.7109375" customWidth="1"/>
    <col min="1031" max="1031" width="9" customWidth="1"/>
    <col min="1032" max="1032" width="12.85546875" customWidth="1"/>
    <col min="1281" max="1281" width="1.7109375" customWidth="1"/>
    <col min="1282" max="1282" width="24.42578125" bestFit="1" customWidth="1"/>
    <col min="1283" max="1285" width="10.7109375" customWidth="1"/>
    <col min="1286" max="1286" width="17.7109375" customWidth="1"/>
    <col min="1287" max="1287" width="9" customWidth="1"/>
    <col min="1288" max="1288" width="12.85546875" customWidth="1"/>
    <col min="1537" max="1537" width="1.7109375" customWidth="1"/>
    <col min="1538" max="1538" width="24.42578125" bestFit="1" customWidth="1"/>
    <col min="1539" max="1541" width="10.7109375" customWidth="1"/>
    <col min="1542" max="1542" width="17.7109375" customWidth="1"/>
    <col min="1543" max="1543" width="9" customWidth="1"/>
    <col min="1544" max="1544" width="12.85546875" customWidth="1"/>
    <col min="1793" max="1793" width="1.7109375" customWidth="1"/>
    <col min="1794" max="1794" width="24.42578125" bestFit="1" customWidth="1"/>
    <col min="1795" max="1797" width="10.7109375" customWidth="1"/>
    <col min="1798" max="1798" width="17.7109375" customWidth="1"/>
    <col min="1799" max="1799" width="9" customWidth="1"/>
    <col min="1800" max="1800" width="12.85546875" customWidth="1"/>
    <col min="2049" max="2049" width="1.7109375" customWidth="1"/>
    <col min="2050" max="2050" width="24.42578125" bestFit="1" customWidth="1"/>
    <col min="2051" max="2053" width="10.7109375" customWidth="1"/>
    <col min="2054" max="2054" width="17.7109375" customWidth="1"/>
    <col min="2055" max="2055" width="9" customWidth="1"/>
    <col min="2056" max="2056" width="12.85546875" customWidth="1"/>
    <col min="2305" max="2305" width="1.7109375" customWidth="1"/>
    <col min="2306" max="2306" width="24.42578125" bestFit="1" customWidth="1"/>
    <col min="2307" max="2309" width="10.7109375" customWidth="1"/>
    <col min="2310" max="2310" width="17.7109375" customWidth="1"/>
    <col min="2311" max="2311" width="9" customWidth="1"/>
    <col min="2312" max="2312" width="12.85546875" customWidth="1"/>
    <col min="2561" max="2561" width="1.7109375" customWidth="1"/>
    <col min="2562" max="2562" width="24.42578125" bestFit="1" customWidth="1"/>
    <col min="2563" max="2565" width="10.7109375" customWidth="1"/>
    <col min="2566" max="2566" width="17.7109375" customWidth="1"/>
    <col min="2567" max="2567" width="9" customWidth="1"/>
    <col min="2568" max="2568" width="12.85546875" customWidth="1"/>
    <col min="2817" max="2817" width="1.7109375" customWidth="1"/>
    <col min="2818" max="2818" width="24.42578125" bestFit="1" customWidth="1"/>
    <col min="2819" max="2821" width="10.7109375" customWidth="1"/>
    <col min="2822" max="2822" width="17.7109375" customWidth="1"/>
    <col min="2823" max="2823" width="9" customWidth="1"/>
    <col min="2824" max="2824" width="12.85546875" customWidth="1"/>
    <col min="3073" max="3073" width="1.7109375" customWidth="1"/>
    <col min="3074" max="3074" width="24.42578125" bestFit="1" customWidth="1"/>
    <col min="3075" max="3077" width="10.7109375" customWidth="1"/>
    <col min="3078" max="3078" width="17.7109375" customWidth="1"/>
    <col min="3079" max="3079" width="9" customWidth="1"/>
    <col min="3080" max="3080" width="12.85546875" customWidth="1"/>
    <col min="3329" max="3329" width="1.7109375" customWidth="1"/>
    <col min="3330" max="3330" width="24.42578125" bestFit="1" customWidth="1"/>
    <col min="3331" max="3333" width="10.7109375" customWidth="1"/>
    <col min="3334" max="3334" width="17.7109375" customWidth="1"/>
    <col min="3335" max="3335" width="9" customWidth="1"/>
    <col min="3336" max="3336" width="12.85546875" customWidth="1"/>
    <col min="3585" max="3585" width="1.7109375" customWidth="1"/>
    <col min="3586" max="3586" width="24.42578125" bestFit="1" customWidth="1"/>
    <col min="3587" max="3589" width="10.7109375" customWidth="1"/>
    <col min="3590" max="3590" width="17.7109375" customWidth="1"/>
    <col min="3591" max="3591" width="9" customWidth="1"/>
    <col min="3592" max="3592" width="12.85546875" customWidth="1"/>
    <col min="3841" max="3841" width="1.7109375" customWidth="1"/>
    <col min="3842" max="3842" width="24.42578125" bestFit="1" customWidth="1"/>
    <col min="3843" max="3845" width="10.7109375" customWidth="1"/>
    <col min="3846" max="3846" width="17.7109375" customWidth="1"/>
    <col min="3847" max="3847" width="9" customWidth="1"/>
    <col min="3848" max="3848" width="12.85546875" customWidth="1"/>
    <col min="4097" max="4097" width="1.7109375" customWidth="1"/>
    <col min="4098" max="4098" width="24.42578125" bestFit="1" customWidth="1"/>
    <col min="4099" max="4101" width="10.7109375" customWidth="1"/>
    <col min="4102" max="4102" width="17.7109375" customWidth="1"/>
    <col min="4103" max="4103" width="9" customWidth="1"/>
    <col min="4104" max="4104" width="12.85546875" customWidth="1"/>
    <col min="4353" max="4353" width="1.7109375" customWidth="1"/>
    <col min="4354" max="4354" width="24.42578125" bestFit="1" customWidth="1"/>
    <col min="4355" max="4357" width="10.7109375" customWidth="1"/>
    <col min="4358" max="4358" width="17.7109375" customWidth="1"/>
    <col min="4359" max="4359" width="9" customWidth="1"/>
    <col min="4360" max="4360" width="12.85546875" customWidth="1"/>
    <col min="4609" max="4609" width="1.7109375" customWidth="1"/>
    <col min="4610" max="4610" width="24.42578125" bestFit="1" customWidth="1"/>
    <col min="4611" max="4613" width="10.7109375" customWidth="1"/>
    <col min="4614" max="4614" width="17.7109375" customWidth="1"/>
    <col min="4615" max="4615" width="9" customWidth="1"/>
    <col min="4616" max="4616" width="12.85546875" customWidth="1"/>
    <col min="4865" max="4865" width="1.7109375" customWidth="1"/>
    <col min="4866" max="4866" width="24.42578125" bestFit="1" customWidth="1"/>
    <col min="4867" max="4869" width="10.7109375" customWidth="1"/>
    <col min="4870" max="4870" width="17.7109375" customWidth="1"/>
    <col min="4871" max="4871" width="9" customWidth="1"/>
    <col min="4872" max="4872" width="12.85546875" customWidth="1"/>
    <col min="5121" max="5121" width="1.7109375" customWidth="1"/>
    <col min="5122" max="5122" width="24.42578125" bestFit="1" customWidth="1"/>
    <col min="5123" max="5125" width="10.7109375" customWidth="1"/>
    <col min="5126" max="5126" width="17.7109375" customWidth="1"/>
    <col min="5127" max="5127" width="9" customWidth="1"/>
    <col min="5128" max="5128" width="12.85546875" customWidth="1"/>
    <col min="5377" max="5377" width="1.7109375" customWidth="1"/>
    <col min="5378" max="5378" width="24.42578125" bestFit="1" customWidth="1"/>
    <col min="5379" max="5381" width="10.7109375" customWidth="1"/>
    <col min="5382" max="5382" width="17.7109375" customWidth="1"/>
    <col min="5383" max="5383" width="9" customWidth="1"/>
    <col min="5384" max="5384" width="12.85546875" customWidth="1"/>
    <col min="5633" max="5633" width="1.7109375" customWidth="1"/>
    <col min="5634" max="5634" width="24.42578125" bestFit="1" customWidth="1"/>
    <col min="5635" max="5637" width="10.7109375" customWidth="1"/>
    <col min="5638" max="5638" width="17.7109375" customWidth="1"/>
    <col min="5639" max="5639" width="9" customWidth="1"/>
    <col min="5640" max="5640" width="12.85546875" customWidth="1"/>
    <col min="5889" max="5889" width="1.7109375" customWidth="1"/>
    <col min="5890" max="5890" width="24.42578125" bestFit="1" customWidth="1"/>
    <col min="5891" max="5893" width="10.7109375" customWidth="1"/>
    <col min="5894" max="5894" width="17.7109375" customWidth="1"/>
    <col min="5895" max="5895" width="9" customWidth="1"/>
    <col min="5896" max="5896" width="12.85546875" customWidth="1"/>
    <col min="6145" max="6145" width="1.7109375" customWidth="1"/>
    <col min="6146" max="6146" width="24.42578125" bestFit="1" customWidth="1"/>
    <col min="6147" max="6149" width="10.7109375" customWidth="1"/>
    <col min="6150" max="6150" width="17.7109375" customWidth="1"/>
    <col min="6151" max="6151" width="9" customWidth="1"/>
    <col min="6152" max="6152" width="12.85546875" customWidth="1"/>
    <col min="6401" max="6401" width="1.7109375" customWidth="1"/>
    <col min="6402" max="6402" width="24.42578125" bestFit="1" customWidth="1"/>
    <col min="6403" max="6405" width="10.7109375" customWidth="1"/>
    <col min="6406" max="6406" width="17.7109375" customWidth="1"/>
    <col min="6407" max="6407" width="9" customWidth="1"/>
    <col min="6408" max="6408" width="12.85546875" customWidth="1"/>
    <col min="6657" max="6657" width="1.7109375" customWidth="1"/>
    <col min="6658" max="6658" width="24.42578125" bestFit="1" customWidth="1"/>
    <col min="6659" max="6661" width="10.7109375" customWidth="1"/>
    <col min="6662" max="6662" width="17.7109375" customWidth="1"/>
    <col min="6663" max="6663" width="9" customWidth="1"/>
    <col min="6664" max="6664" width="12.85546875" customWidth="1"/>
    <col min="6913" max="6913" width="1.7109375" customWidth="1"/>
    <col min="6914" max="6914" width="24.42578125" bestFit="1" customWidth="1"/>
    <col min="6915" max="6917" width="10.7109375" customWidth="1"/>
    <col min="6918" max="6918" width="17.7109375" customWidth="1"/>
    <col min="6919" max="6919" width="9" customWidth="1"/>
    <col min="6920" max="6920" width="12.85546875" customWidth="1"/>
    <col min="7169" max="7169" width="1.7109375" customWidth="1"/>
    <col min="7170" max="7170" width="24.42578125" bestFit="1" customWidth="1"/>
    <col min="7171" max="7173" width="10.7109375" customWidth="1"/>
    <col min="7174" max="7174" width="17.7109375" customWidth="1"/>
    <col min="7175" max="7175" width="9" customWidth="1"/>
    <col min="7176" max="7176" width="12.85546875" customWidth="1"/>
    <col min="7425" max="7425" width="1.7109375" customWidth="1"/>
    <col min="7426" max="7426" width="24.42578125" bestFit="1" customWidth="1"/>
    <col min="7427" max="7429" width="10.7109375" customWidth="1"/>
    <col min="7430" max="7430" width="17.7109375" customWidth="1"/>
    <col min="7431" max="7431" width="9" customWidth="1"/>
    <col min="7432" max="7432" width="12.85546875" customWidth="1"/>
    <col min="7681" max="7681" width="1.7109375" customWidth="1"/>
    <col min="7682" max="7682" width="24.42578125" bestFit="1" customWidth="1"/>
    <col min="7683" max="7685" width="10.7109375" customWidth="1"/>
    <col min="7686" max="7686" width="17.7109375" customWidth="1"/>
    <col min="7687" max="7687" width="9" customWidth="1"/>
    <col min="7688" max="7688" width="12.85546875" customWidth="1"/>
    <col min="7937" max="7937" width="1.7109375" customWidth="1"/>
    <col min="7938" max="7938" width="24.42578125" bestFit="1" customWidth="1"/>
    <col min="7939" max="7941" width="10.7109375" customWidth="1"/>
    <col min="7942" max="7942" width="17.7109375" customWidth="1"/>
    <col min="7943" max="7943" width="9" customWidth="1"/>
    <col min="7944" max="7944" width="12.85546875" customWidth="1"/>
    <col min="8193" max="8193" width="1.7109375" customWidth="1"/>
    <col min="8194" max="8194" width="24.42578125" bestFit="1" customWidth="1"/>
    <col min="8195" max="8197" width="10.7109375" customWidth="1"/>
    <col min="8198" max="8198" width="17.7109375" customWidth="1"/>
    <col min="8199" max="8199" width="9" customWidth="1"/>
    <col min="8200" max="8200" width="12.85546875" customWidth="1"/>
    <col min="8449" max="8449" width="1.7109375" customWidth="1"/>
    <col min="8450" max="8450" width="24.42578125" bestFit="1" customWidth="1"/>
    <col min="8451" max="8453" width="10.7109375" customWidth="1"/>
    <col min="8454" max="8454" width="17.7109375" customWidth="1"/>
    <col min="8455" max="8455" width="9" customWidth="1"/>
    <col min="8456" max="8456" width="12.85546875" customWidth="1"/>
    <col min="8705" max="8705" width="1.7109375" customWidth="1"/>
    <col min="8706" max="8706" width="24.42578125" bestFit="1" customWidth="1"/>
    <col min="8707" max="8709" width="10.7109375" customWidth="1"/>
    <col min="8710" max="8710" width="17.7109375" customWidth="1"/>
    <col min="8711" max="8711" width="9" customWidth="1"/>
    <col min="8712" max="8712" width="12.85546875" customWidth="1"/>
    <col min="8961" max="8961" width="1.7109375" customWidth="1"/>
    <col min="8962" max="8962" width="24.42578125" bestFit="1" customWidth="1"/>
    <col min="8963" max="8965" width="10.7109375" customWidth="1"/>
    <col min="8966" max="8966" width="17.7109375" customWidth="1"/>
    <col min="8967" max="8967" width="9" customWidth="1"/>
    <col min="8968" max="8968" width="12.85546875" customWidth="1"/>
    <col min="9217" max="9217" width="1.7109375" customWidth="1"/>
    <col min="9218" max="9218" width="24.42578125" bestFit="1" customWidth="1"/>
    <col min="9219" max="9221" width="10.7109375" customWidth="1"/>
    <col min="9222" max="9222" width="17.7109375" customWidth="1"/>
    <col min="9223" max="9223" width="9" customWidth="1"/>
    <col min="9224" max="9224" width="12.85546875" customWidth="1"/>
    <col min="9473" max="9473" width="1.7109375" customWidth="1"/>
    <col min="9474" max="9474" width="24.42578125" bestFit="1" customWidth="1"/>
    <col min="9475" max="9477" width="10.7109375" customWidth="1"/>
    <col min="9478" max="9478" width="17.7109375" customWidth="1"/>
    <col min="9479" max="9479" width="9" customWidth="1"/>
    <col min="9480" max="9480" width="12.85546875" customWidth="1"/>
    <col min="9729" max="9729" width="1.7109375" customWidth="1"/>
    <col min="9730" max="9730" width="24.42578125" bestFit="1" customWidth="1"/>
    <col min="9731" max="9733" width="10.7109375" customWidth="1"/>
    <col min="9734" max="9734" width="17.7109375" customWidth="1"/>
    <col min="9735" max="9735" width="9" customWidth="1"/>
    <col min="9736" max="9736" width="12.85546875" customWidth="1"/>
    <col min="9985" max="9985" width="1.7109375" customWidth="1"/>
    <col min="9986" max="9986" width="24.42578125" bestFit="1" customWidth="1"/>
    <col min="9987" max="9989" width="10.7109375" customWidth="1"/>
    <col min="9990" max="9990" width="17.7109375" customWidth="1"/>
    <col min="9991" max="9991" width="9" customWidth="1"/>
    <col min="9992" max="9992" width="12.85546875" customWidth="1"/>
    <col min="10241" max="10241" width="1.7109375" customWidth="1"/>
    <col min="10242" max="10242" width="24.42578125" bestFit="1" customWidth="1"/>
    <col min="10243" max="10245" width="10.7109375" customWidth="1"/>
    <col min="10246" max="10246" width="17.7109375" customWidth="1"/>
    <col min="10247" max="10247" width="9" customWidth="1"/>
    <col min="10248" max="10248" width="12.85546875" customWidth="1"/>
    <col min="10497" max="10497" width="1.7109375" customWidth="1"/>
    <col min="10498" max="10498" width="24.42578125" bestFit="1" customWidth="1"/>
    <col min="10499" max="10501" width="10.7109375" customWidth="1"/>
    <col min="10502" max="10502" width="17.7109375" customWidth="1"/>
    <col min="10503" max="10503" width="9" customWidth="1"/>
    <col min="10504" max="10504" width="12.85546875" customWidth="1"/>
    <col min="10753" max="10753" width="1.7109375" customWidth="1"/>
    <col min="10754" max="10754" width="24.42578125" bestFit="1" customWidth="1"/>
    <col min="10755" max="10757" width="10.7109375" customWidth="1"/>
    <col min="10758" max="10758" width="17.7109375" customWidth="1"/>
    <col min="10759" max="10759" width="9" customWidth="1"/>
    <col min="10760" max="10760" width="12.85546875" customWidth="1"/>
    <col min="11009" max="11009" width="1.7109375" customWidth="1"/>
    <col min="11010" max="11010" width="24.42578125" bestFit="1" customWidth="1"/>
    <col min="11011" max="11013" width="10.7109375" customWidth="1"/>
    <col min="11014" max="11014" width="17.7109375" customWidth="1"/>
    <col min="11015" max="11015" width="9" customWidth="1"/>
    <col min="11016" max="11016" width="12.85546875" customWidth="1"/>
    <col min="11265" max="11265" width="1.7109375" customWidth="1"/>
    <col min="11266" max="11266" width="24.42578125" bestFit="1" customWidth="1"/>
    <col min="11267" max="11269" width="10.7109375" customWidth="1"/>
    <col min="11270" max="11270" width="17.7109375" customWidth="1"/>
    <col min="11271" max="11271" width="9" customWidth="1"/>
    <col min="11272" max="11272" width="12.85546875" customWidth="1"/>
    <col min="11521" max="11521" width="1.7109375" customWidth="1"/>
    <col min="11522" max="11522" width="24.42578125" bestFit="1" customWidth="1"/>
    <col min="11523" max="11525" width="10.7109375" customWidth="1"/>
    <col min="11526" max="11526" width="17.7109375" customWidth="1"/>
    <col min="11527" max="11527" width="9" customWidth="1"/>
    <col min="11528" max="11528" width="12.85546875" customWidth="1"/>
    <col min="11777" max="11777" width="1.7109375" customWidth="1"/>
    <col min="11778" max="11778" width="24.42578125" bestFit="1" customWidth="1"/>
    <col min="11779" max="11781" width="10.7109375" customWidth="1"/>
    <col min="11782" max="11782" width="17.7109375" customWidth="1"/>
    <col min="11783" max="11783" width="9" customWidth="1"/>
    <col min="11784" max="11784" width="12.85546875" customWidth="1"/>
    <col min="12033" max="12033" width="1.7109375" customWidth="1"/>
    <col min="12034" max="12034" width="24.42578125" bestFit="1" customWidth="1"/>
    <col min="12035" max="12037" width="10.7109375" customWidth="1"/>
    <col min="12038" max="12038" width="17.7109375" customWidth="1"/>
    <col min="12039" max="12039" width="9" customWidth="1"/>
    <col min="12040" max="12040" width="12.85546875" customWidth="1"/>
    <col min="12289" max="12289" width="1.7109375" customWidth="1"/>
    <col min="12290" max="12290" width="24.42578125" bestFit="1" customWidth="1"/>
    <col min="12291" max="12293" width="10.7109375" customWidth="1"/>
    <col min="12294" max="12294" width="17.7109375" customWidth="1"/>
    <col min="12295" max="12295" width="9" customWidth="1"/>
    <col min="12296" max="12296" width="12.85546875" customWidth="1"/>
    <col min="12545" max="12545" width="1.7109375" customWidth="1"/>
    <col min="12546" max="12546" width="24.42578125" bestFit="1" customWidth="1"/>
    <col min="12547" max="12549" width="10.7109375" customWidth="1"/>
    <col min="12550" max="12550" width="17.7109375" customWidth="1"/>
    <col min="12551" max="12551" width="9" customWidth="1"/>
    <col min="12552" max="12552" width="12.85546875" customWidth="1"/>
    <col min="12801" max="12801" width="1.7109375" customWidth="1"/>
    <col min="12802" max="12802" width="24.42578125" bestFit="1" customWidth="1"/>
    <col min="12803" max="12805" width="10.7109375" customWidth="1"/>
    <col min="12806" max="12806" width="17.7109375" customWidth="1"/>
    <col min="12807" max="12807" width="9" customWidth="1"/>
    <col min="12808" max="12808" width="12.85546875" customWidth="1"/>
    <col min="13057" max="13057" width="1.7109375" customWidth="1"/>
    <col min="13058" max="13058" width="24.42578125" bestFit="1" customWidth="1"/>
    <col min="13059" max="13061" width="10.7109375" customWidth="1"/>
    <col min="13062" max="13062" width="17.7109375" customWidth="1"/>
    <col min="13063" max="13063" width="9" customWidth="1"/>
    <col min="13064" max="13064" width="12.85546875" customWidth="1"/>
    <col min="13313" max="13313" width="1.7109375" customWidth="1"/>
    <col min="13314" max="13314" width="24.42578125" bestFit="1" customWidth="1"/>
    <col min="13315" max="13317" width="10.7109375" customWidth="1"/>
    <col min="13318" max="13318" width="17.7109375" customWidth="1"/>
    <col min="13319" max="13319" width="9" customWidth="1"/>
    <col min="13320" max="13320" width="12.85546875" customWidth="1"/>
    <col min="13569" max="13569" width="1.7109375" customWidth="1"/>
    <col min="13570" max="13570" width="24.42578125" bestFit="1" customWidth="1"/>
    <col min="13571" max="13573" width="10.7109375" customWidth="1"/>
    <col min="13574" max="13574" width="17.7109375" customWidth="1"/>
    <col min="13575" max="13575" width="9" customWidth="1"/>
    <col min="13576" max="13576" width="12.85546875" customWidth="1"/>
    <col min="13825" max="13825" width="1.7109375" customWidth="1"/>
    <col min="13826" max="13826" width="24.42578125" bestFit="1" customWidth="1"/>
    <col min="13827" max="13829" width="10.7109375" customWidth="1"/>
    <col min="13830" max="13830" width="17.7109375" customWidth="1"/>
    <col min="13831" max="13831" width="9" customWidth="1"/>
    <col min="13832" max="13832" width="12.85546875" customWidth="1"/>
    <col min="14081" max="14081" width="1.7109375" customWidth="1"/>
    <col min="14082" max="14082" width="24.42578125" bestFit="1" customWidth="1"/>
    <col min="14083" max="14085" width="10.7109375" customWidth="1"/>
    <col min="14086" max="14086" width="17.7109375" customWidth="1"/>
    <col min="14087" max="14087" width="9" customWidth="1"/>
    <col min="14088" max="14088" width="12.85546875" customWidth="1"/>
    <col min="14337" max="14337" width="1.7109375" customWidth="1"/>
    <col min="14338" max="14338" width="24.42578125" bestFit="1" customWidth="1"/>
    <col min="14339" max="14341" width="10.7109375" customWidth="1"/>
    <col min="14342" max="14342" width="17.7109375" customWidth="1"/>
    <col min="14343" max="14343" width="9" customWidth="1"/>
    <col min="14344" max="14344" width="12.85546875" customWidth="1"/>
    <col min="14593" max="14593" width="1.7109375" customWidth="1"/>
    <col min="14594" max="14594" width="24.42578125" bestFit="1" customWidth="1"/>
    <col min="14595" max="14597" width="10.7109375" customWidth="1"/>
    <col min="14598" max="14598" width="17.7109375" customWidth="1"/>
    <col min="14599" max="14599" width="9" customWidth="1"/>
    <col min="14600" max="14600" width="12.85546875" customWidth="1"/>
    <col min="14849" max="14849" width="1.7109375" customWidth="1"/>
    <col min="14850" max="14850" width="24.42578125" bestFit="1" customWidth="1"/>
    <col min="14851" max="14853" width="10.7109375" customWidth="1"/>
    <col min="14854" max="14854" width="17.7109375" customWidth="1"/>
    <col min="14855" max="14855" width="9" customWidth="1"/>
    <col min="14856" max="14856" width="12.85546875" customWidth="1"/>
    <col min="15105" max="15105" width="1.7109375" customWidth="1"/>
    <col min="15106" max="15106" width="24.42578125" bestFit="1" customWidth="1"/>
    <col min="15107" max="15109" width="10.7109375" customWidth="1"/>
    <col min="15110" max="15110" width="17.7109375" customWidth="1"/>
    <col min="15111" max="15111" width="9" customWidth="1"/>
    <col min="15112" max="15112" width="12.85546875" customWidth="1"/>
    <col min="15361" max="15361" width="1.7109375" customWidth="1"/>
    <col min="15362" max="15362" width="24.42578125" bestFit="1" customWidth="1"/>
    <col min="15363" max="15365" width="10.7109375" customWidth="1"/>
    <col min="15366" max="15366" width="17.7109375" customWidth="1"/>
    <col min="15367" max="15367" width="9" customWidth="1"/>
    <col min="15368" max="15368" width="12.85546875" customWidth="1"/>
    <col min="15617" max="15617" width="1.7109375" customWidth="1"/>
    <col min="15618" max="15618" width="24.42578125" bestFit="1" customWidth="1"/>
    <col min="15619" max="15621" width="10.7109375" customWidth="1"/>
    <col min="15622" max="15622" width="17.7109375" customWidth="1"/>
    <col min="15623" max="15623" width="9" customWidth="1"/>
    <col min="15624" max="15624" width="12.85546875" customWidth="1"/>
    <col min="15873" max="15873" width="1.7109375" customWidth="1"/>
    <col min="15874" max="15874" width="24.42578125" bestFit="1" customWidth="1"/>
    <col min="15875" max="15877" width="10.7109375" customWidth="1"/>
    <col min="15878" max="15878" width="17.7109375" customWidth="1"/>
    <col min="15879" max="15879" width="9" customWidth="1"/>
    <col min="15880" max="15880" width="12.85546875" customWidth="1"/>
    <col min="16129" max="16129" width="1.7109375" customWidth="1"/>
    <col min="16130" max="16130" width="24.42578125" bestFit="1" customWidth="1"/>
    <col min="16131" max="16133" width="10.7109375" customWidth="1"/>
    <col min="16134" max="16134" width="17.7109375" customWidth="1"/>
    <col min="16135" max="16135" width="9" customWidth="1"/>
    <col min="16136" max="16136" width="12.85546875" customWidth="1"/>
  </cols>
  <sheetData>
    <row r="1" spans="1:6">
      <c r="A1" s="135"/>
      <c r="B1" s="136" t="s">
        <v>1013</v>
      </c>
      <c r="C1" s="388" t="s">
        <v>1014</v>
      </c>
      <c r="D1" s="388"/>
      <c r="E1" s="388"/>
      <c r="F1" s="388"/>
    </row>
    <row r="2" spans="1:6">
      <c r="A2" s="135"/>
      <c r="B2" s="136" t="s">
        <v>1015</v>
      </c>
      <c r="C2" s="389" t="s">
        <v>1053</v>
      </c>
      <c r="D2" s="389"/>
      <c r="E2" s="389"/>
      <c r="F2" s="389"/>
    </row>
    <row r="3" spans="1:6">
      <c r="A3" s="137"/>
      <c r="B3" s="136" t="s">
        <v>1016</v>
      </c>
      <c r="C3" s="388" t="s">
        <v>1017</v>
      </c>
      <c r="D3" s="388"/>
      <c r="E3" s="388"/>
      <c r="F3" s="388"/>
    </row>
    <row r="4" spans="1:6" ht="15.75" thickBot="1">
      <c r="A4" s="137"/>
      <c r="B4" s="138" t="s">
        <v>1018</v>
      </c>
      <c r="C4" s="139">
        <v>1</v>
      </c>
      <c r="D4" s="140">
        <f>IF(C4&gt;0,IF(C4&lt;7,,"&lt;--- Insira valor entre 1 e 6"),"&lt;--- Insira valor entre 1 e 6")</f>
        <v>0</v>
      </c>
      <c r="E4" s="135"/>
      <c r="F4" s="141"/>
    </row>
    <row r="5" spans="1:6" ht="15.75" thickBot="1">
      <c r="A5" s="137"/>
      <c r="B5" s="142" t="s">
        <v>1019</v>
      </c>
      <c r="C5" s="143">
        <v>1</v>
      </c>
      <c r="D5" s="390" t="s">
        <v>1020</v>
      </c>
      <c r="E5" s="391"/>
      <c r="F5" s="392"/>
    </row>
    <row r="6" spans="1:6" ht="26.25" thickBot="1">
      <c r="A6" s="137"/>
      <c r="B6" s="142" t="s">
        <v>1021</v>
      </c>
      <c r="C6" s="144">
        <v>2</v>
      </c>
      <c r="D6" s="145" t="s">
        <v>1022</v>
      </c>
      <c r="E6" s="393">
        <v>0.05</v>
      </c>
      <c r="F6" s="394"/>
    </row>
    <row r="7" spans="1:6" ht="51.75" thickBot="1">
      <c r="A7" s="137"/>
      <c r="B7" s="142" t="s">
        <v>1023</v>
      </c>
      <c r="C7" s="144">
        <v>3</v>
      </c>
      <c r="D7" s="146" t="s">
        <v>1024</v>
      </c>
      <c r="E7" s="395">
        <v>0.4</v>
      </c>
      <c r="F7" s="396"/>
    </row>
    <row r="8" spans="1:6" ht="51">
      <c r="A8" s="137"/>
      <c r="B8" s="142" t="s">
        <v>1025</v>
      </c>
      <c r="C8" s="144">
        <v>4</v>
      </c>
      <c r="D8" s="397" t="s">
        <v>1026</v>
      </c>
      <c r="E8" s="398"/>
      <c r="F8" s="399"/>
    </row>
    <row r="9" spans="1:6" ht="25.5">
      <c r="A9" s="137"/>
      <c r="B9" s="142" t="s">
        <v>1027</v>
      </c>
      <c r="C9" s="144">
        <v>5</v>
      </c>
      <c r="D9" s="147" t="s">
        <v>1028</v>
      </c>
      <c r="E9" s="148" t="s">
        <v>1029</v>
      </c>
      <c r="F9" s="149"/>
    </row>
    <row r="10" spans="1:6" ht="25.5">
      <c r="A10" s="137"/>
      <c r="B10" s="142" t="s">
        <v>1030</v>
      </c>
      <c r="C10" s="144">
        <v>6</v>
      </c>
      <c r="D10" s="150"/>
      <c r="E10" s="151" t="s">
        <v>1031</v>
      </c>
      <c r="F10" s="152"/>
    </row>
    <row r="11" spans="1:6">
      <c r="A11" s="137"/>
      <c r="B11" s="153"/>
      <c r="C11" s="135"/>
      <c r="D11" s="135"/>
      <c r="E11" s="135"/>
      <c r="F11" s="141"/>
    </row>
    <row r="12" spans="1:6" ht="15.75">
      <c r="A12" s="154"/>
      <c r="B12" s="155"/>
      <c r="C12" s="400" t="s">
        <v>1032</v>
      </c>
      <c r="D12" s="400"/>
      <c r="E12" s="400"/>
      <c r="F12" s="155"/>
    </row>
    <row r="13" spans="1:6" ht="31.5">
      <c r="A13" s="156"/>
      <c r="B13" s="157" t="s">
        <v>1033</v>
      </c>
      <c r="C13" s="158" t="s">
        <v>1034</v>
      </c>
      <c r="D13" s="158" t="s">
        <v>1035</v>
      </c>
      <c r="E13" s="158" t="s">
        <v>1036</v>
      </c>
      <c r="F13" s="159" t="s">
        <v>1037</v>
      </c>
    </row>
    <row r="14" spans="1:6" ht="15.75">
      <c r="A14" s="154"/>
      <c r="B14" s="160" t="s">
        <v>1038</v>
      </c>
      <c r="C14" s="161">
        <f>'[2]BDI 2622_2013_TCU'!G3</f>
        <v>3.7999999999999999E-2</v>
      </c>
      <c r="D14" s="162">
        <f>'[2]BDI 2622_2013_TCU'!H3</f>
        <v>4.0099999999999997E-2</v>
      </c>
      <c r="E14" s="163">
        <f>'[2]BDI 2622_2013_TCU'!I3</f>
        <v>4.6699999999999998E-2</v>
      </c>
      <c r="F14" s="164">
        <v>4.4999999999999998E-2</v>
      </c>
    </row>
    <row r="15" spans="1:6" ht="15.75">
      <c r="A15" s="154"/>
      <c r="B15" s="160" t="s">
        <v>1039</v>
      </c>
      <c r="C15" s="165">
        <f>'[2]BDI 2622_2013_TCU'!G4</f>
        <v>3.2000000000000002E-3</v>
      </c>
      <c r="D15" s="166">
        <f>'[2]BDI 2622_2013_TCU'!H4</f>
        <v>4.0000000000000001E-3</v>
      </c>
      <c r="E15" s="167">
        <f>'[2]BDI 2622_2013_TCU'!I4</f>
        <v>7.4000000000000003E-3</v>
      </c>
      <c r="F15" s="168">
        <v>0.01</v>
      </c>
    </row>
    <row r="16" spans="1:6" ht="15.75">
      <c r="A16" s="154"/>
      <c r="B16" s="160" t="s">
        <v>1040</v>
      </c>
      <c r="C16" s="165">
        <f>'[2]BDI 2622_2013_TCU'!G5</f>
        <v>5.0000000000000001E-3</v>
      </c>
      <c r="D16" s="166">
        <f>'[2]BDI 2622_2013_TCU'!H5</f>
        <v>5.5999999999999999E-3</v>
      </c>
      <c r="E16" s="167">
        <f>'[2]BDI 2622_2013_TCU'!I5</f>
        <v>9.7000000000000003E-3</v>
      </c>
      <c r="F16" s="168">
        <v>1.2699999999999999E-2</v>
      </c>
    </row>
    <row r="17" spans="1:7" ht="15.75">
      <c r="A17" s="154"/>
      <c r="B17" s="160" t="s">
        <v>1041</v>
      </c>
      <c r="C17" s="165">
        <f>'[2]BDI 2622_2013_TCU'!G6</f>
        <v>1.0200000000000001E-2</v>
      </c>
      <c r="D17" s="166">
        <f>'[2]BDI 2622_2013_TCU'!H6</f>
        <v>1.11E-2</v>
      </c>
      <c r="E17" s="167">
        <f>'[2]BDI 2622_2013_TCU'!I6</f>
        <v>1.21E-2</v>
      </c>
      <c r="F17" s="168">
        <v>1.3679999999999999E-2</v>
      </c>
    </row>
    <row r="18" spans="1:7" ht="15.75">
      <c r="A18" s="154"/>
      <c r="B18" s="160" t="s">
        <v>1042</v>
      </c>
      <c r="C18" s="169">
        <f>'[2]BDI 2622_2013_TCU'!G7</f>
        <v>6.6400000000000001E-2</v>
      </c>
      <c r="D18" s="170">
        <f>'[2]BDI 2622_2013_TCU'!H7</f>
        <v>7.2999999999999995E-2</v>
      </c>
      <c r="E18" s="171">
        <f>'[2]BDI 2622_2013_TCU'!I7</f>
        <v>8.6900000000000005E-2</v>
      </c>
      <c r="F18" s="168">
        <v>8.1000000000000003E-2</v>
      </c>
    </row>
    <row r="19" spans="1:7" ht="15.75">
      <c r="A19" s="154"/>
      <c r="B19" s="401" t="s">
        <v>1043</v>
      </c>
      <c r="C19" s="402"/>
      <c r="D19" s="402"/>
      <c r="E19" s="403"/>
      <c r="F19" s="172">
        <v>3.6499999999999998E-2</v>
      </c>
    </row>
    <row r="20" spans="1:7" ht="15.75">
      <c r="A20" s="154"/>
      <c r="B20" s="404" t="s">
        <v>1044</v>
      </c>
      <c r="C20" s="405"/>
      <c r="D20" s="405"/>
      <c r="E20" s="406"/>
      <c r="F20" s="172">
        <f>E6*E7</f>
        <v>2.0000000000000004E-2</v>
      </c>
    </row>
    <row r="21" spans="1:7" ht="16.5" thickBot="1">
      <c r="A21" s="154"/>
      <c r="B21" s="407" t="s">
        <v>1045</v>
      </c>
      <c r="C21" s="408"/>
      <c r="D21" s="408"/>
      <c r="E21" s="408"/>
      <c r="F21" s="173"/>
    </row>
    <row r="22" spans="1:7">
      <c r="A22" s="154"/>
      <c r="B22" s="154"/>
      <c r="C22" s="154"/>
      <c r="D22" s="154"/>
      <c r="E22" s="154"/>
      <c r="F22" s="155"/>
    </row>
    <row r="23" spans="1:7" ht="15.75">
      <c r="A23" s="154"/>
      <c r="B23" s="387" t="s">
        <v>1046</v>
      </c>
      <c r="C23" s="387"/>
      <c r="D23" s="387"/>
      <c r="E23" s="387"/>
      <c r="F23" s="174">
        <f>ROUND('[2]BDI 2622_2013_TCU'!K12,4)</f>
        <v>0.24</v>
      </c>
    </row>
    <row r="24" spans="1:7" ht="16.5" thickBot="1">
      <c r="A24" s="154"/>
      <c r="B24" s="381" t="s">
        <v>1047</v>
      </c>
      <c r="C24" s="382"/>
      <c r="D24" s="382"/>
      <c r="E24" s="382"/>
      <c r="F24" s="175">
        <f>ROUND('[2]BDI 2622_2013_TCU'!K13,4)</f>
        <v>0.24</v>
      </c>
    </row>
    <row r="25" spans="1:7">
      <c r="A25" s="154"/>
      <c r="B25" s="154"/>
      <c r="C25" s="154"/>
      <c r="D25" s="154"/>
      <c r="E25" s="154"/>
      <c r="F25" s="155"/>
    </row>
    <row r="26" spans="1:7">
      <c r="A26" s="154"/>
      <c r="B26" s="383" t="s">
        <v>1048</v>
      </c>
      <c r="C26" s="383"/>
      <c r="D26" s="383"/>
      <c r="E26" s="383"/>
      <c r="F26" s="383"/>
    </row>
    <row r="27" spans="1:7">
      <c r="A27" s="154"/>
      <c r="B27" s="383" t="s">
        <v>1049</v>
      </c>
      <c r="C27" s="383"/>
      <c r="D27" s="383"/>
      <c r="E27" s="383"/>
      <c r="F27" s="383"/>
    </row>
    <row r="28" spans="1:7">
      <c r="A28" s="154"/>
      <c r="B28" s="384" t="s">
        <v>1050</v>
      </c>
      <c r="C28" s="384"/>
      <c r="D28" s="384"/>
      <c r="E28" s="384"/>
      <c r="F28" s="384"/>
    </row>
    <row r="29" spans="1:7">
      <c r="A29" s="154"/>
      <c r="B29" s="385" t="s">
        <v>1051</v>
      </c>
      <c r="C29" s="385"/>
      <c r="D29" s="385"/>
      <c r="E29" s="385"/>
      <c r="F29" s="385"/>
    </row>
    <row r="30" spans="1:7">
      <c r="A30" s="154"/>
      <c r="B30" s="154"/>
      <c r="C30" s="154"/>
      <c r="D30" s="154"/>
      <c r="E30" s="154"/>
      <c r="F30" s="176"/>
    </row>
    <row r="31" spans="1:7">
      <c r="A31" s="386" t="s">
        <v>1052</v>
      </c>
      <c r="B31" s="386"/>
      <c r="C31" s="386"/>
      <c r="D31" s="386"/>
      <c r="E31" s="386"/>
      <c r="F31" s="386"/>
      <c r="G31" s="386"/>
    </row>
    <row r="32" spans="1:7">
      <c r="A32" s="379" t="s">
        <v>638</v>
      </c>
      <c r="B32" s="379"/>
      <c r="C32" s="379"/>
      <c r="D32" s="379"/>
      <c r="E32" s="379"/>
      <c r="F32" s="379"/>
      <c r="G32" s="379"/>
    </row>
    <row r="33" spans="1:7">
      <c r="A33" s="380" t="s">
        <v>639</v>
      </c>
      <c r="B33" s="380"/>
      <c r="C33" s="380"/>
      <c r="D33" s="380"/>
      <c r="E33" s="380"/>
      <c r="F33" s="380"/>
      <c r="G33" s="380"/>
    </row>
    <row r="34" spans="1:7">
      <c r="A34" s="380" t="s">
        <v>658</v>
      </c>
      <c r="B34" s="380"/>
      <c r="C34" s="380"/>
      <c r="D34" s="380"/>
      <c r="E34" s="380"/>
      <c r="F34" s="380"/>
      <c r="G34" s="380"/>
    </row>
    <row r="35" spans="1:7">
      <c r="A35" s="154"/>
      <c r="B35" s="154"/>
      <c r="C35" s="154"/>
      <c r="D35" s="154"/>
      <c r="E35" s="154"/>
      <c r="F35" s="155"/>
    </row>
    <row r="36" spans="1:7">
      <c r="A36" s="154"/>
      <c r="B36" s="154"/>
      <c r="C36" s="154"/>
      <c r="D36" s="154"/>
      <c r="E36" s="154"/>
      <c r="F36" s="155"/>
    </row>
  </sheetData>
  <mergeCells count="21">
    <mergeCell ref="B23:E23"/>
    <mergeCell ref="C1:F1"/>
    <mergeCell ref="C2:F2"/>
    <mergeCell ref="C3:F3"/>
    <mergeCell ref="D5:F5"/>
    <mergeCell ref="E6:F6"/>
    <mergeCell ref="E7:F7"/>
    <mergeCell ref="D8:F8"/>
    <mergeCell ref="C12:E12"/>
    <mergeCell ref="B19:E19"/>
    <mergeCell ref="B20:E20"/>
    <mergeCell ref="B21:E21"/>
    <mergeCell ref="A32:G32"/>
    <mergeCell ref="A33:G33"/>
    <mergeCell ref="A34:G34"/>
    <mergeCell ref="B24:E24"/>
    <mergeCell ref="B26:F26"/>
    <mergeCell ref="B27:F27"/>
    <mergeCell ref="B28:F28"/>
    <mergeCell ref="B29:F29"/>
    <mergeCell ref="A31:G31"/>
  </mergeCells>
  <conditionalFormatting sqref="F14:F18">
    <cfRule type="cellIs" dxfId="13" priority="1" stopIfTrue="1" operator="between">
      <formula>$C14</formula>
      <formula>$E14</formula>
    </cfRule>
  </conditionalFormatting>
  <conditionalFormatting sqref="B5:C10">
    <cfRule type="expression" dxfId="12" priority="4" stopIfTrue="1">
      <formula>$C$4=0</formula>
    </cfRule>
    <cfRule type="expression" dxfId="11" priority="5" stopIfTrue="1">
      <formula>$C$4&gt;6</formula>
    </cfRule>
    <cfRule type="expression" dxfId="10" priority="6" stopIfTrue="1">
      <formula>$C5&lt;&gt;$C$4</formula>
    </cfRule>
  </conditionalFormatting>
  <conditionalFormatting sqref="E9">
    <cfRule type="expression" dxfId="9" priority="7" stopIfTrue="1">
      <formula>$D$10&lt;&gt;0</formula>
    </cfRule>
  </conditionalFormatting>
  <conditionalFormatting sqref="E10">
    <cfRule type="expression" dxfId="8" priority="8" stopIfTrue="1">
      <formula>$D$10&lt;&gt;0</formula>
    </cfRule>
  </conditionalFormatting>
  <conditionalFormatting sqref="B24:F24">
    <cfRule type="expression" dxfId="7" priority="9" stopIfTrue="1">
      <formula>$D$10&lt;&gt;0</formula>
    </cfRule>
  </conditionalFormatting>
  <conditionalFormatting sqref="B29:F29">
    <cfRule type="expression" dxfId="6" priority="10" stopIfTrue="1">
      <formula>$D$10&lt;&gt;0</formula>
    </cfRule>
  </conditionalFormatting>
  <conditionalFormatting sqref="F21">
    <cfRule type="expression" dxfId="5" priority="11" stopIfTrue="1">
      <formula>$D$10&lt;&gt;0</formula>
    </cfRule>
  </conditionalFormatting>
  <conditionalFormatting sqref="B21:E21">
    <cfRule type="expression" dxfId="4" priority="12" stopIfTrue="1">
      <formula>$D$10&lt;&gt;0</formula>
    </cfRule>
  </conditionalFormatting>
  <conditionalFormatting sqref="B23:F23">
    <cfRule type="expression" dxfId="3" priority="13" stopIfTrue="1">
      <formula>$D$10&lt;&gt;0</formula>
    </cfRule>
  </conditionalFormatting>
  <conditionalFormatting sqref="B28:F28">
    <cfRule type="expression" dxfId="2" priority="14" stopIfTrue="1">
      <formula>$D$10&lt;&gt;0</formula>
    </cfRule>
  </conditionalFormatting>
  <conditionalFormatting sqref="E6">
    <cfRule type="expression" dxfId="1" priority="2" stopIfTrue="1">
      <formula>$D$7&lt;&gt;0</formula>
    </cfRule>
  </conditionalFormatting>
  <conditionalFormatting sqref="E7">
    <cfRule type="expression" dxfId="0" priority="3" stopIfTrue="1">
      <formula>$D$7&lt;&gt;0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</vt:i4>
      </vt:variant>
    </vt:vector>
  </HeadingPairs>
  <TitlesOfParts>
    <vt:vector size="10" baseType="lpstr">
      <vt:lpstr>SERVIÇOS</vt:lpstr>
      <vt:lpstr>CRONOGRAMA</vt:lpstr>
      <vt:lpstr>COMPOSIÇÕES</vt:lpstr>
      <vt:lpstr>COMP. GRANIT.</vt:lpstr>
      <vt:lpstr>COMP. ELEV.</vt:lpstr>
      <vt:lpstr>COMP. SG.</vt:lpstr>
      <vt:lpstr>QUANTITATIVOS</vt:lpstr>
      <vt:lpstr>BDI</vt:lpstr>
      <vt:lpstr>SERVIÇOS!Area_de_impressao</vt:lpstr>
      <vt:lpstr>SERVIÇOS!Titulos_de_impressao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Deconto</dc:creator>
  <cp:lastModifiedBy>Engenharia</cp:lastModifiedBy>
  <cp:lastPrinted>2020-03-02T16:14:12Z</cp:lastPrinted>
  <dcterms:created xsi:type="dcterms:W3CDTF">2019-05-21T17:43:58Z</dcterms:created>
  <dcterms:modified xsi:type="dcterms:W3CDTF">2020-03-02T16:29:59Z</dcterms:modified>
</cp:coreProperties>
</file>